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jfeero.SOA\Documents\"/>
    </mc:Choice>
  </mc:AlternateContent>
  <xr:revisionPtr revIDLastSave="0" documentId="13_ncr:1_{0DD8D8E9-E10D-4C47-9066-D50C20EA1173}" xr6:coauthVersionLast="47" xr6:coauthVersionMax="47" xr10:uidLastSave="{00000000-0000-0000-0000-000000000000}"/>
  <workbookProtection workbookAlgorithmName="SHA-512" workbookHashValue="KkEzVuNtesvpmzF/tfPnTpaBFBb7JH+bI/yTLanHWeaB08s+wChX0kmovPGT4e0IlkMUPTFB/K69BvZU8Q2m4A==" workbookSaltValue="bsohwV6zatXdkd5c19eu0w==" workbookSpinCount="100000" lockStructure="1"/>
  <bookViews>
    <workbookView xWindow="-108" yWindow="-108" windowWidth="23256" windowHeight="12576" xr2:uid="{A6DBE752-1DB2-4888-B9AF-4C4CBC6CDA1B}"/>
  </bookViews>
  <sheets>
    <sheet name="Model Rules" sheetId="7" r:id="rId1"/>
    <sheet name="Version - Updates" sheetId="8" r:id="rId2"/>
    <sheet name="Model" sheetId="1" r:id="rId3"/>
    <sheet name="Cost Basis" sheetId="2" r:id="rId4"/>
    <sheet name="Cost Basis Detail" sheetId="3" r:id="rId5"/>
    <sheet name="FAQs" sheetId="9" r:id="rId6"/>
  </sheets>
  <definedNames>
    <definedName name="_xlnm._FilterDatabase" localSheetId="2" hidden="1">Model!$A$1:$P$402</definedName>
    <definedName name="Technology_List">'Cost Basis'!$A$4:$A$15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6" i="1" l="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5" i="1"/>
  <c r="L114" i="1"/>
  <c r="L113" i="1"/>
  <c r="L112" i="1"/>
  <c r="L111" i="1"/>
  <c r="L110" i="1"/>
  <c r="L109" i="1"/>
  <c r="L108" i="1"/>
  <c r="L107" i="1"/>
  <c r="L106" i="1"/>
  <c r="L105" i="1"/>
  <c r="L104" i="1"/>
  <c r="L103" i="1"/>
  <c r="L102" i="1"/>
  <c r="L101" i="1"/>
  <c r="L100" i="1"/>
  <c r="L99" i="1"/>
  <c r="L97" i="1"/>
  <c r="L96" i="1"/>
  <c r="L95" i="1"/>
  <c r="L94" i="1"/>
  <c r="L90" i="1"/>
  <c r="L89" i="1"/>
  <c r="L88" i="1"/>
  <c r="L87" i="1"/>
  <c r="L86" i="1"/>
  <c r="L85" i="1"/>
  <c r="L84" i="1"/>
  <c r="L83" i="1"/>
  <c r="L82" i="1"/>
  <c r="L81" i="1"/>
  <c r="L80" i="1"/>
  <c r="L79" i="1"/>
  <c r="L78" i="1"/>
  <c r="L77" i="1"/>
  <c r="L76" i="1"/>
  <c r="L74" i="1"/>
  <c r="L73" i="1"/>
  <c r="L72" i="1"/>
  <c r="L71" i="1"/>
  <c r="L70" i="1"/>
  <c r="L68" i="1"/>
  <c r="L65" i="1"/>
  <c r="L64" i="1"/>
  <c r="L63" i="1"/>
  <c r="L62" i="1"/>
  <c r="L60" i="1"/>
  <c r="L59" i="1"/>
  <c r="L58" i="1"/>
  <c r="L57" i="1"/>
  <c r="L56" i="1"/>
  <c r="L55" i="1"/>
  <c r="L54" i="1"/>
  <c r="L53" i="1"/>
  <c r="L52" i="1"/>
  <c r="L51" i="1"/>
  <c r="L50" i="1"/>
  <c r="L49" i="1"/>
  <c r="L48" i="1"/>
  <c r="L47" i="1"/>
  <c r="L46" i="1"/>
  <c r="L45" i="1"/>
  <c r="L44" i="1"/>
  <c r="L43" i="1"/>
  <c r="L42" i="1"/>
  <c r="L41" i="1"/>
  <c r="L39" i="1"/>
  <c r="L38" i="1"/>
  <c r="L37" i="1"/>
  <c r="L36" i="1"/>
  <c r="L35" i="1"/>
  <c r="L34" i="1"/>
  <c r="L33" i="1"/>
  <c r="L32" i="1"/>
  <c r="L31" i="1"/>
  <c r="L30" i="1"/>
  <c r="L29" i="1"/>
  <c r="L28" i="1"/>
  <c r="L27" i="1"/>
  <c r="L24" i="1"/>
  <c r="L23" i="1"/>
  <c r="L22" i="1"/>
  <c r="L21" i="1"/>
  <c r="L20" i="1"/>
  <c r="L19" i="1"/>
  <c r="L18" i="1"/>
  <c r="L17" i="1"/>
  <c r="L16" i="1"/>
  <c r="L15" i="1"/>
  <c r="L14" i="1"/>
  <c r="L13" i="1"/>
  <c r="L12" i="1"/>
  <c r="L11" i="1"/>
  <c r="L10" i="1"/>
  <c r="L9" i="1"/>
  <c r="L8" i="1"/>
  <c r="L7" i="1"/>
  <c r="L6" i="1"/>
  <c r="L5" i="1"/>
  <c r="L4" i="1"/>
  <c r="L3" i="1"/>
  <c r="L2" i="1"/>
  <c r="H2" i="1"/>
  <c r="E15" i="2"/>
  <c r="P23" i="3"/>
  <c r="P27" i="3"/>
  <c r="P9" i="3"/>
  <c r="R186" i="1" l="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5" i="1"/>
  <c r="R114" i="1"/>
  <c r="R113" i="1"/>
  <c r="R112" i="1"/>
  <c r="R111" i="1"/>
  <c r="R110" i="1"/>
  <c r="R109" i="1"/>
  <c r="R108" i="1"/>
  <c r="R107" i="1"/>
  <c r="R106" i="1"/>
  <c r="R105" i="1"/>
  <c r="R104" i="1"/>
  <c r="R103" i="1"/>
  <c r="R102" i="1"/>
  <c r="R101" i="1"/>
  <c r="R100" i="1"/>
  <c r="R99" i="1"/>
  <c r="R97" i="1"/>
  <c r="R96" i="1"/>
  <c r="R95" i="1"/>
  <c r="R94" i="1"/>
  <c r="R90" i="1"/>
  <c r="R89" i="1"/>
  <c r="R88" i="1"/>
  <c r="R87" i="1"/>
  <c r="R86" i="1"/>
  <c r="R85" i="1"/>
  <c r="R84" i="1"/>
  <c r="R83" i="1"/>
  <c r="R82" i="1"/>
  <c r="R81" i="1"/>
  <c r="R80" i="1"/>
  <c r="R79" i="1"/>
  <c r="R78" i="1"/>
  <c r="R77" i="1"/>
  <c r="R76" i="1"/>
  <c r="R74" i="1"/>
  <c r="R73" i="1"/>
  <c r="R72" i="1"/>
  <c r="R71" i="1"/>
  <c r="R70" i="1"/>
  <c r="R68" i="1"/>
  <c r="R65" i="1"/>
  <c r="R64" i="1"/>
  <c r="R63" i="1"/>
  <c r="R62" i="1"/>
  <c r="R60" i="1"/>
  <c r="R59" i="1"/>
  <c r="R58" i="1"/>
  <c r="R57" i="1"/>
  <c r="R56" i="1"/>
  <c r="R55" i="1"/>
  <c r="R54" i="1"/>
  <c r="R53" i="1"/>
  <c r="R52" i="1"/>
  <c r="R51" i="1"/>
  <c r="R50" i="1"/>
  <c r="R49" i="1"/>
  <c r="R48" i="1"/>
  <c r="R47" i="1"/>
  <c r="R46" i="1"/>
  <c r="R45" i="1"/>
  <c r="R44" i="1"/>
  <c r="R43" i="1"/>
  <c r="R42" i="1"/>
  <c r="R41" i="1"/>
  <c r="R39" i="1"/>
  <c r="R38" i="1"/>
  <c r="R37" i="1"/>
  <c r="R36" i="1"/>
  <c r="R35" i="1"/>
  <c r="R34" i="1"/>
  <c r="R33" i="1"/>
  <c r="R32" i="1"/>
  <c r="R31" i="1"/>
  <c r="R30" i="1"/>
  <c r="R29" i="1"/>
  <c r="R28" i="1"/>
  <c r="R27" i="1"/>
  <c r="R24" i="1"/>
  <c r="R23" i="1"/>
  <c r="R22" i="1"/>
  <c r="R21" i="1"/>
  <c r="R20" i="1"/>
  <c r="R19" i="1"/>
  <c r="R18" i="1"/>
  <c r="R17" i="1"/>
  <c r="R16" i="1"/>
  <c r="R15" i="1"/>
  <c r="R14" i="1"/>
  <c r="R13" i="1"/>
  <c r="R12" i="1"/>
  <c r="R11" i="1"/>
  <c r="R10" i="1"/>
  <c r="R9" i="1"/>
  <c r="R8" i="1"/>
  <c r="R7" i="1"/>
  <c r="R6" i="1"/>
  <c r="R5" i="1"/>
  <c r="R4" i="1"/>
  <c r="R3" i="1"/>
  <c r="R2" i="1"/>
  <c r="Q3"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M284" i="1" s="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H288"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2" i="1"/>
  <c r="H21" i="1"/>
  <c r="H20" i="1"/>
  <c r="H19" i="1"/>
  <c r="H18" i="1"/>
  <c r="H17" i="1"/>
  <c r="H16" i="1"/>
  <c r="H15" i="1"/>
  <c r="H14" i="1"/>
  <c r="H13" i="1"/>
  <c r="H12" i="1"/>
  <c r="H11" i="1"/>
  <c r="H10" i="1"/>
  <c r="H9" i="1"/>
  <c r="H8" i="1"/>
  <c r="H7" i="1"/>
  <c r="H6" i="1"/>
  <c r="H5" i="1"/>
  <c r="H4" i="1"/>
  <c r="H3" i="1"/>
  <c r="K40" i="1"/>
  <c r="L40" i="1" s="1"/>
  <c r="F13" i="2"/>
  <c r="F12" i="2"/>
  <c r="F11" i="2"/>
  <c r="F10" i="2"/>
  <c r="F9" i="2"/>
  <c r="F8" i="2"/>
  <c r="F7" i="2"/>
  <c r="F6" i="2"/>
  <c r="F5" i="2"/>
  <c r="F4" i="2"/>
  <c r="F26" i="3"/>
  <c r="F23" i="3"/>
  <c r="J23" i="3" s="1"/>
  <c r="K23" i="3" s="1"/>
  <c r="L23" i="3" s="1"/>
  <c r="M23" i="3" s="1"/>
  <c r="N23" i="3" s="1"/>
  <c r="K26" i="1"/>
  <c r="L26" i="1" s="1"/>
  <c r="K25" i="1"/>
  <c r="L25" i="1" s="1"/>
  <c r="K92" i="1"/>
  <c r="L92" i="1" s="1"/>
  <c r="K91" i="1"/>
  <c r="L91" i="1" s="1"/>
  <c r="K93" i="1"/>
  <c r="L93" i="1" s="1"/>
  <c r="R92" i="1" l="1"/>
  <c r="R25" i="1"/>
  <c r="R26" i="1"/>
  <c r="R91" i="1"/>
  <c r="R93" i="1"/>
  <c r="R40" i="1"/>
  <c r="Q4" i="1"/>
  <c r="Q5" i="1" s="1"/>
  <c r="Q6" i="1" s="1"/>
  <c r="Q7" i="1" s="1"/>
  <c r="Q8" i="1" s="1"/>
  <c r="Q9" i="1" s="1"/>
  <c r="Q10" i="1" s="1"/>
  <c r="Q11" i="1" s="1"/>
  <c r="Q12" i="1" s="1"/>
  <c r="Q13" i="1" s="1"/>
  <c r="Q14" i="1" s="1"/>
  <c r="Q15" i="1" s="1"/>
  <c r="Q16" i="1" s="1"/>
  <c r="Q17" i="1" s="1"/>
  <c r="Q18" i="1" s="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 r="Q69" i="1" s="1"/>
  <c r="Q70" i="1" s="1"/>
  <c r="Q71" i="1" s="1"/>
  <c r="Q72" i="1" s="1"/>
  <c r="Q73" i="1" s="1"/>
  <c r="Q74" i="1" s="1"/>
  <c r="Q75" i="1" s="1"/>
  <c r="Q76" i="1" s="1"/>
  <c r="Q77" i="1" s="1"/>
  <c r="Q78" i="1" s="1"/>
  <c r="Q79" i="1" s="1"/>
  <c r="Q80" i="1" s="1"/>
  <c r="Q81" i="1" s="1"/>
  <c r="Q82" i="1" s="1"/>
  <c r="Q83" i="1" s="1"/>
  <c r="Q84" i="1" s="1"/>
  <c r="Q85" i="1" s="1"/>
  <c r="Q86" i="1" s="1"/>
  <c r="Q87" i="1" s="1"/>
  <c r="Q88" i="1" s="1"/>
  <c r="Q89" i="1" s="1"/>
  <c r="Q90" i="1" s="1"/>
  <c r="Q91" i="1" s="1"/>
  <c r="Q92" i="1" s="1"/>
  <c r="Q93" i="1" s="1"/>
  <c r="Q94" i="1" s="1"/>
  <c r="Q95" i="1" s="1"/>
  <c r="Q96" i="1" s="1"/>
  <c r="Q97" i="1" s="1"/>
  <c r="Q98" i="1" s="1"/>
  <c r="Q99" i="1" s="1"/>
  <c r="Q100" i="1" s="1"/>
  <c r="Q101" i="1" s="1"/>
  <c r="Q102" i="1" s="1"/>
  <c r="Q103" i="1" s="1"/>
  <c r="Q104" i="1" s="1"/>
  <c r="Q105" i="1" s="1"/>
  <c r="Q106" i="1" s="1"/>
  <c r="Q107" i="1" s="1"/>
  <c r="Q108" i="1" s="1"/>
  <c r="Q109" i="1" s="1"/>
  <c r="Q110" i="1" s="1"/>
  <c r="Q111" i="1" s="1"/>
  <c r="Q112" i="1" s="1"/>
  <c r="Q113" i="1" s="1"/>
  <c r="Q114" i="1" s="1"/>
  <c r="Q115" i="1" s="1"/>
  <c r="Q116" i="1" s="1"/>
  <c r="Q117" i="1" s="1"/>
  <c r="Q118" i="1" s="1"/>
  <c r="Q119" i="1" s="1"/>
  <c r="Q120" i="1" s="1"/>
  <c r="Q121" i="1" s="1"/>
  <c r="Q122" i="1" s="1"/>
  <c r="Q123" i="1" s="1"/>
  <c r="Q124" i="1" s="1"/>
  <c r="Q125" i="1" s="1"/>
  <c r="Q126" i="1" s="1"/>
  <c r="Q127" i="1" s="1"/>
  <c r="Q128" i="1" s="1"/>
  <c r="Q129" i="1" s="1"/>
  <c r="Q130" i="1" s="1"/>
  <c r="Q131" i="1" s="1"/>
  <c r="Q132" i="1" s="1"/>
  <c r="Q133" i="1" s="1"/>
  <c r="Q134" i="1" s="1"/>
  <c r="Q135" i="1" s="1"/>
  <c r="Q136" i="1" s="1"/>
  <c r="Q137" i="1" s="1"/>
  <c r="Q138" i="1" s="1"/>
  <c r="Q139" i="1" s="1"/>
  <c r="Q140" i="1" s="1"/>
  <c r="Q141" i="1" s="1"/>
  <c r="Q142" i="1" s="1"/>
  <c r="Q143" i="1" s="1"/>
  <c r="Q144" i="1" s="1"/>
  <c r="Q145" i="1" s="1"/>
  <c r="Q146" i="1" s="1"/>
  <c r="Q147" i="1" s="1"/>
  <c r="Q148" i="1" s="1"/>
  <c r="Q149" i="1" s="1"/>
  <c r="Q150" i="1" s="1"/>
  <c r="Q151" i="1" s="1"/>
  <c r="Q152" i="1" s="1"/>
  <c r="Q153" i="1" s="1"/>
  <c r="Q154" i="1" s="1"/>
  <c r="Q155" i="1" s="1"/>
  <c r="Q156" i="1" s="1"/>
  <c r="Q157" i="1" s="1"/>
  <c r="Q158" i="1" s="1"/>
  <c r="Q159" i="1" s="1"/>
  <c r="Q160" i="1" s="1"/>
  <c r="Q161" i="1" s="1"/>
  <c r="Q162" i="1" s="1"/>
  <c r="Q163" i="1" s="1"/>
  <c r="Q164" i="1" s="1"/>
  <c r="Q165" i="1" s="1"/>
  <c r="Q166" i="1" s="1"/>
  <c r="Q167" i="1" s="1"/>
  <c r="Q168" i="1" s="1"/>
  <c r="Q169" i="1" s="1"/>
  <c r="Q170" i="1" s="1"/>
  <c r="Q171" i="1" s="1"/>
  <c r="Q172" i="1" s="1"/>
  <c r="Q173" i="1" s="1"/>
  <c r="Q174" i="1" s="1"/>
  <c r="Q175" i="1" s="1"/>
  <c r="Q176" i="1" s="1"/>
  <c r="Q177" i="1" s="1"/>
  <c r="Q178" i="1" s="1"/>
  <c r="Q179" i="1" s="1"/>
  <c r="Q180" i="1" s="1"/>
  <c r="Q181" i="1" s="1"/>
  <c r="Q182" i="1" s="1"/>
  <c r="Q183" i="1" s="1"/>
  <c r="Q184" i="1" s="1"/>
  <c r="Q185" i="1" s="1"/>
  <c r="Q186" i="1" s="1"/>
  <c r="F27" i="3"/>
  <c r="M376" i="1"/>
  <c r="M396" i="1"/>
  <c r="M274" i="1"/>
  <c r="M307" i="1"/>
  <c r="M340" i="1"/>
  <c r="M301" i="1"/>
  <c r="M321" i="1"/>
  <c r="M341" i="1"/>
  <c r="M401" i="1"/>
  <c r="M276" i="1"/>
  <c r="M306" i="1"/>
  <c r="M366" i="1"/>
  <c r="M386" i="1"/>
  <c r="M176" i="1"/>
  <c r="M299" i="1"/>
  <c r="M319" i="1"/>
  <c r="M339" i="1"/>
  <c r="M359" i="1"/>
  <c r="M226" i="1"/>
  <c r="M246" i="1"/>
  <c r="M217" i="1"/>
  <c r="M298" i="1"/>
  <c r="M358" i="1"/>
  <c r="M289" i="1"/>
  <c r="M375" i="1"/>
  <c r="M203" i="1"/>
  <c r="M223" i="1"/>
  <c r="M263" i="1"/>
  <c r="M239" i="1"/>
  <c r="M241" i="1"/>
  <c r="M395" i="1"/>
  <c r="M227" i="1"/>
  <c r="M201" i="1"/>
  <c r="M259" i="1"/>
  <c r="M343" i="1"/>
  <c r="M363" i="1"/>
  <c r="M354" i="1"/>
  <c r="M383" i="1"/>
  <c r="M207" i="1"/>
  <c r="M328" i="1"/>
  <c r="M329" i="1"/>
  <c r="M352" i="1"/>
  <c r="M206" i="1"/>
  <c r="M288" i="1"/>
  <c r="M211" i="1"/>
  <c r="M231" i="1"/>
  <c r="M313" i="1"/>
  <c r="M314" i="1"/>
  <c r="M202" i="1"/>
  <c r="M262" i="1"/>
  <c r="M344" i="1"/>
  <c r="M305" i="1"/>
  <c r="M345" i="1"/>
  <c r="M264" i="1"/>
  <c r="M225" i="1"/>
  <c r="M265" i="1"/>
  <c r="M208" i="1"/>
  <c r="M353" i="1"/>
  <c r="M351" i="1"/>
  <c r="M292" i="1"/>
  <c r="M220" i="1"/>
  <c r="M322" i="1"/>
  <c r="M382" i="1"/>
  <c r="M290" i="1"/>
  <c r="M249" i="1"/>
  <c r="M391" i="1"/>
  <c r="M372" i="1"/>
  <c r="M250" i="1"/>
  <c r="M291" i="1"/>
  <c r="M270" i="1"/>
  <c r="M357" i="1"/>
  <c r="M310" i="1"/>
  <c r="M215" i="1"/>
  <c r="M279" i="1"/>
  <c r="M240" i="1"/>
  <c r="M311" i="1"/>
  <c r="M350" i="1"/>
  <c r="M312" i="1"/>
  <c r="M248" i="1"/>
  <c r="M273" i="1"/>
  <c r="M216" i="1"/>
  <c r="M332" i="1"/>
  <c r="M283" i="1"/>
  <c r="M384" i="1"/>
  <c r="M204" i="1"/>
  <c r="M287" i="1"/>
  <c r="M318" i="1"/>
  <c r="M370" i="1"/>
  <c r="M309" i="1"/>
  <c r="M238" i="1"/>
  <c r="M364" i="1"/>
  <c r="M381" i="1"/>
  <c r="M300" i="1"/>
  <c r="M230" i="1"/>
  <c r="M271" i="1"/>
  <c r="M222" i="1"/>
  <c r="M303" i="1"/>
  <c r="M333" i="1"/>
  <c r="M385" i="1"/>
  <c r="M210" i="1"/>
  <c r="M324" i="1"/>
  <c r="M346" i="1"/>
  <c r="M243" i="1"/>
  <c r="M347" i="1"/>
  <c r="M360" i="1"/>
  <c r="M269" i="1"/>
  <c r="M196" i="1"/>
  <c r="M266" i="1"/>
  <c r="M400" i="1"/>
  <c r="M212" i="1"/>
  <c r="M317" i="1"/>
  <c r="M234" i="1"/>
  <c r="M369" i="1"/>
  <c r="M221" i="1"/>
  <c r="M235" i="1"/>
  <c r="M236" i="1"/>
  <c r="M304" i="1"/>
  <c r="M293" i="1"/>
  <c r="M254" i="1"/>
  <c r="M371" i="1"/>
  <c r="M380" i="1"/>
  <c r="M393" i="1"/>
  <c r="G26" i="3"/>
  <c r="H26" i="3" s="1"/>
  <c r="M334" i="1"/>
  <c r="M213" i="1"/>
  <c r="M267" i="1"/>
  <c r="M197" i="1"/>
  <c r="M253" i="1"/>
  <c r="M260" i="1"/>
  <c r="M198" i="1"/>
  <c r="M378" i="1"/>
  <c r="M214" i="1"/>
  <c r="M281" i="1"/>
  <c r="M228" i="1"/>
  <c r="M362" i="1"/>
  <c r="M200" i="1"/>
  <c r="M308" i="1"/>
  <c r="M282" i="1"/>
  <c r="M229" i="1"/>
  <c r="M237" i="1"/>
  <c r="M247" i="1"/>
  <c r="M261" i="1"/>
  <c r="M379" i="1"/>
  <c r="M392" i="1"/>
  <c r="M330" i="1"/>
  <c r="M255" i="1"/>
  <c r="M272" i="1"/>
  <c r="M209" i="1"/>
  <c r="M280" i="1"/>
  <c r="M331" i="1"/>
  <c r="M342" i="1"/>
  <c r="M365" i="1"/>
  <c r="M394" i="1"/>
  <c r="M320" i="1"/>
  <c r="M294" i="1"/>
  <c r="M218" i="1"/>
  <c r="M224" i="1"/>
  <c r="M337" i="1"/>
  <c r="M233" i="1"/>
  <c r="M355" i="1"/>
  <c r="M251" i="1"/>
  <c r="M367" i="1"/>
  <c r="M387" i="1"/>
  <c r="M398" i="1"/>
  <c r="M256" i="1"/>
  <c r="M335" i="1"/>
  <c r="M275" i="1"/>
  <c r="M302" i="1"/>
  <c r="M242" i="1"/>
  <c r="M389" i="1"/>
  <c r="M257" i="1"/>
  <c r="M268" i="1"/>
  <c r="M277" i="1"/>
  <c r="M323" i="1"/>
  <c r="M336" i="1"/>
  <c r="M258" i="1"/>
  <c r="M397" i="1"/>
  <c r="M252" i="1"/>
  <c r="M296" i="1"/>
  <c r="M278" i="1"/>
  <c r="M325" i="1"/>
  <c r="M244" i="1"/>
  <c r="M205" i="1"/>
  <c r="M219" i="1"/>
  <c r="M326" i="1"/>
  <c r="M348" i="1"/>
  <c r="M356" i="1"/>
  <c r="M377" i="1"/>
  <c r="M390" i="1"/>
  <c r="M373" i="1"/>
  <c r="M315" i="1"/>
  <c r="M232" i="1"/>
  <c r="M374" i="1"/>
  <c r="M295" i="1"/>
  <c r="M338" i="1"/>
  <c r="M388" i="1"/>
  <c r="M297" i="1"/>
  <c r="M316" i="1"/>
  <c r="M327" i="1"/>
  <c r="M349" i="1"/>
  <c r="M245" i="1"/>
  <c r="M361" i="1"/>
  <c r="M368" i="1"/>
  <c r="M399" i="1"/>
  <c r="M199" i="1"/>
  <c r="H9" i="3"/>
  <c r="F9" i="3"/>
  <c r="C6" i="2"/>
  <c r="G27" i="3"/>
  <c r="E27" i="3"/>
  <c r="N9" i="3"/>
  <c r="M9" i="3"/>
  <c r="L9" i="3"/>
  <c r="K9" i="3"/>
  <c r="J9" i="3"/>
  <c r="I9" i="3"/>
  <c r="G9" i="3"/>
  <c r="E9" i="3"/>
  <c r="Q187" i="1" l="1"/>
  <c r="R187" i="1" s="1"/>
  <c r="H27" i="3"/>
  <c r="I26" i="3"/>
  <c r="C7" i="2"/>
  <c r="E11" i="2"/>
  <c r="C9" i="2"/>
  <c r="E5" i="2"/>
  <c r="E4" i="2"/>
  <c r="C8" i="2"/>
  <c r="C10" i="2"/>
  <c r="C5" i="2"/>
  <c r="C4" i="2"/>
  <c r="E10" i="2"/>
  <c r="C11" i="2"/>
  <c r="B13" i="2"/>
  <c r="B5" i="2"/>
  <c r="B11" i="2"/>
  <c r="B7" i="2"/>
  <c r="B4" i="2"/>
  <c r="B10" i="2"/>
  <c r="B12" i="2"/>
  <c r="B8" i="2"/>
  <c r="B9" i="2"/>
  <c r="B6" i="2"/>
  <c r="M156" i="1" l="1"/>
  <c r="M23" i="1"/>
  <c r="J26" i="3"/>
  <c r="I27" i="3"/>
  <c r="E7" i="2" s="1"/>
  <c r="M145" i="1" l="1"/>
  <c r="M144" i="1"/>
  <c r="M124" i="1"/>
  <c r="M143" i="1"/>
  <c r="M63" i="1"/>
  <c r="M140" i="1"/>
  <c r="M102" i="1"/>
  <c r="M82" i="1"/>
  <c r="M161" i="1"/>
  <c r="M99" i="1"/>
  <c r="M155" i="1"/>
  <c r="M95" i="1"/>
  <c r="M74" i="1"/>
  <c r="M73" i="1"/>
  <c r="M92" i="1"/>
  <c r="M154" i="1"/>
  <c r="M152" i="1"/>
  <c r="M149" i="1"/>
  <c r="M148" i="1"/>
  <c r="M147" i="1"/>
  <c r="K26" i="3"/>
  <c r="J27" i="3"/>
  <c r="E6" i="2" s="1"/>
  <c r="K61" i="1"/>
  <c r="M37" i="1"/>
  <c r="M137" i="1"/>
  <c r="K116" i="1"/>
  <c r="K98" i="1"/>
  <c r="K69" i="1"/>
  <c r="K75" i="1"/>
  <c r="K66" i="1"/>
  <c r="M195" i="1"/>
  <c r="M42" i="1"/>
  <c r="M164" i="1"/>
  <c r="M286" i="1"/>
  <c r="M3" i="1"/>
  <c r="M40" i="1"/>
  <c r="M13" i="1"/>
  <c r="M19" i="1"/>
  <c r="M186" i="1"/>
  <c r="M24" i="1"/>
  <c r="M185" i="1"/>
  <c r="M62" i="1"/>
  <c r="M86" i="1"/>
  <c r="M59" i="1"/>
  <c r="M184" i="1"/>
  <c r="M15" i="1"/>
  <c r="M183" i="1"/>
  <c r="M2" i="1"/>
  <c r="M12" i="1"/>
  <c r="M113" i="1"/>
  <c r="M100" i="1"/>
  <c r="M160" i="1"/>
  <c r="M35" i="1"/>
  <c r="M14" i="1"/>
  <c r="M34" i="1"/>
  <c r="M181" i="1"/>
  <c r="M136" i="1"/>
  <c r="M32" i="1"/>
  <c r="M104" i="1"/>
  <c r="M180" i="1"/>
  <c r="M138" i="1"/>
  <c r="M158" i="1"/>
  <c r="M30" i="1"/>
  <c r="M130" i="1"/>
  <c r="M179" i="1"/>
  <c r="M178" i="1"/>
  <c r="M45" i="1"/>
  <c r="M191" i="1"/>
  <c r="M79" i="1"/>
  <c r="M177" i="1"/>
  <c r="M171" i="1"/>
  <c r="M172" i="1"/>
  <c r="M22" i="1"/>
  <c r="M173" i="1"/>
  <c r="M174" i="1"/>
  <c r="M18" i="1"/>
  <c r="M139" i="1"/>
  <c r="M175" i="1"/>
  <c r="M103" i="1"/>
  <c r="M133" i="1"/>
  <c r="M33" i="1"/>
  <c r="M285" i="1"/>
  <c r="M36" i="1"/>
  <c r="M132" i="1"/>
  <c r="M41" i="1"/>
  <c r="M49" i="1"/>
  <c r="M170" i="1"/>
  <c r="M47" i="1"/>
  <c r="M125" i="1"/>
  <c r="M11" i="1"/>
  <c r="M159" i="1"/>
  <c r="M167" i="1"/>
  <c r="M163" i="1"/>
  <c r="M9" i="1"/>
  <c r="M128" i="1"/>
  <c r="M126" i="1"/>
  <c r="M16" i="1"/>
  <c r="M165" i="1"/>
  <c r="M168" i="1"/>
  <c r="M169" i="1"/>
  <c r="M39" i="1"/>
  <c r="M4" i="1"/>
  <c r="M135" i="1"/>
  <c r="M29" i="1"/>
  <c r="M151" i="1"/>
  <c r="M129" i="1"/>
  <c r="M10" i="1"/>
  <c r="M127" i="1"/>
  <c r="M192" i="1"/>
  <c r="M193" i="1"/>
  <c r="M194" i="1"/>
  <c r="M166" i="1"/>
  <c r="M190" i="1"/>
  <c r="M17" i="1"/>
  <c r="M50" i="1"/>
  <c r="M72" i="1"/>
  <c r="M189" i="1"/>
  <c r="M188" i="1"/>
  <c r="M90" i="1"/>
  <c r="M187" i="1"/>
  <c r="M38" i="1"/>
  <c r="E87" i="1"/>
  <c r="D87" i="1"/>
  <c r="M46" i="1"/>
  <c r="M141" i="1"/>
  <c r="L69" i="1" l="1"/>
  <c r="R69" i="1"/>
  <c r="R98" i="1"/>
  <c r="L98" i="1"/>
  <c r="M98" i="1" s="1"/>
  <c r="L116" i="1"/>
  <c r="R116" i="1"/>
  <c r="L66" i="1"/>
  <c r="R66" i="1"/>
  <c r="L75" i="1"/>
  <c r="R75" i="1"/>
  <c r="H87" i="1"/>
  <c r="L61" i="1"/>
  <c r="M61" i="1" s="1"/>
  <c r="R61" i="1"/>
  <c r="M162" i="1"/>
  <c r="M91" i="1"/>
  <c r="M94" i="1"/>
  <c r="M88" i="1"/>
  <c r="M96" i="1"/>
  <c r="M97" i="1"/>
  <c r="K67" i="1"/>
  <c r="L26" i="3"/>
  <c r="K27" i="3"/>
  <c r="E9" i="2" s="1"/>
  <c r="M43" i="1"/>
  <c r="M93" i="1"/>
  <c r="M25" i="1"/>
  <c r="M70" i="1"/>
  <c r="R67" i="1" l="1"/>
  <c r="L67" i="1"/>
  <c r="M67" i="1" s="1"/>
  <c r="M146" i="1"/>
  <c r="M106" i="1"/>
  <c r="M66" i="1"/>
  <c r="M26" i="1"/>
  <c r="M6" i="1"/>
  <c r="M65" i="1"/>
  <c r="M84" i="1"/>
  <c r="M85" i="1"/>
  <c r="M64" i="1"/>
  <c r="M83" i="1"/>
  <c r="M78" i="1"/>
  <c r="M77" i="1"/>
  <c r="M182" i="1"/>
  <c r="M142" i="1"/>
  <c r="M80" i="1"/>
  <c r="M20" i="1"/>
  <c r="M157" i="1"/>
  <c r="M131" i="1"/>
  <c r="M101" i="1"/>
  <c r="M81" i="1"/>
  <c r="M21" i="1"/>
  <c r="M60" i="1"/>
  <c r="M76" i="1"/>
  <c r="M119" i="1"/>
  <c r="M75" i="1"/>
  <c r="M134" i="1"/>
  <c r="M150" i="1"/>
  <c r="M153" i="1"/>
  <c r="M69" i="1"/>
  <c r="M68" i="1"/>
  <c r="M7" i="1"/>
  <c r="M44" i="1"/>
  <c r="M26" i="3"/>
  <c r="L27" i="3"/>
  <c r="E8" i="2" s="1"/>
  <c r="M105" i="1" l="1"/>
  <c r="M57" i="1"/>
  <c r="M5" i="1"/>
  <c r="M123" i="1"/>
  <c r="M121" i="1"/>
  <c r="M122" i="1"/>
  <c r="M120" i="1"/>
  <c r="M118" i="1"/>
  <c r="M58" i="1"/>
  <c r="M115" i="1"/>
  <c r="M55" i="1"/>
  <c r="M114" i="1"/>
  <c r="M54" i="1"/>
  <c r="M53" i="1"/>
  <c r="M52" i="1"/>
  <c r="M51" i="1"/>
  <c r="M110" i="1"/>
  <c r="M112" i="1"/>
  <c r="M71" i="1"/>
  <c r="M109" i="1"/>
  <c r="M89" i="1"/>
  <c r="M87" i="1"/>
  <c r="M117" i="1"/>
  <c r="M116" i="1"/>
  <c r="M108" i="1"/>
  <c r="M48" i="1"/>
  <c r="M28" i="1"/>
  <c r="M8" i="1"/>
  <c r="M107" i="1"/>
  <c r="M27" i="1"/>
  <c r="M111" i="1"/>
  <c r="M56" i="1"/>
  <c r="M31" i="1"/>
  <c r="N26" i="3"/>
  <c r="N27" i="3" s="1"/>
  <c r="E13" i="2" s="1"/>
  <c r="M27" i="3"/>
  <c r="E12" i="2" s="1"/>
  <c r="M402" i="1" l="1"/>
  <c r="S187" i="1" s="1"/>
  <c r="R188" i="1" s="1"/>
</calcChain>
</file>

<file path=xl/sharedStrings.xml><?xml version="1.0" encoding="utf-8"?>
<sst xmlns="http://schemas.openxmlformats.org/spreadsheetml/2006/main" count="2840" uniqueCount="1009">
  <si>
    <t>Serial Number</t>
  </si>
  <si>
    <t>Status</t>
  </si>
  <si>
    <t>Community</t>
  </si>
  <si>
    <t>Households</t>
  </si>
  <si>
    <t>Occupied Households</t>
  </si>
  <si>
    <t>Unserved</t>
  </si>
  <si>
    <t>Akhiok</t>
  </si>
  <si>
    <t>Akiak</t>
  </si>
  <si>
    <t>Alakanuk</t>
  </si>
  <si>
    <t>Alexander Creek</t>
  </si>
  <si>
    <t>Aniak</t>
  </si>
  <si>
    <t>Removed</t>
  </si>
  <si>
    <t>Annette</t>
  </si>
  <si>
    <t>Anvik</t>
  </si>
  <si>
    <t>Arctic Village</t>
  </si>
  <si>
    <t>Atka</t>
  </si>
  <si>
    <t>Beluga</t>
  </si>
  <si>
    <t>Attu Station</t>
  </si>
  <si>
    <t xml:space="preserve"> -   </t>
  </si>
  <si>
    <t>Birch Creek</t>
  </si>
  <si>
    <t>Canyon Village</t>
  </si>
  <si>
    <t>Cape Yakataga</t>
  </si>
  <si>
    <t>Central</t>
  </si>
  <si>
    <t>Chalkyitsik</t>
  </si>
  <si>
    <t>Chantanika</t>
  </si>
  <si>
    <t>Chefornak</t>
  </si>
  <si>
    <t>Chevak</t>
  </si>
  <si>
    <t>Chickaloon</t>
  </si>
  <si>
    <t>Chicken</t>
  </si>
  <si>
    <t>Chiniak</t>
  </si>
  <si>
    <t>Chisana</t>
  </si>
  <si>
    <t>Chistochina</t>
  </si>
  <si>
    <t>Chuathbaluk</t>
  </si>
  <si>
    <t>Circle</t>
  </si>
  <si>
    <t>Clover Pass</t>
  </si>
  <si>
    <t>Cohoe</t>
  </si>
  <si>
    <t>Coldfoot</t>
  </si>
  <si>
    <t>College</t>
  </si>
  <si>
    <t>Cooper Landing</t>
  </si>
  <si>
    <t>Copperville</t>
  </si>
  <si>
    <t>Council</t>
  </si>
  <si>
    <t>Crooked Creek</t>
  </si>
  <si>
    <t>Crown Point</t>
  </si>
  <si>
    <t>Diomede</t>
  </si>
  <si>
    <t>Dry Creek</t>
  </si>
  <si>
    <t>Eagle</t>
  </si>
  <si>
    <t>Eagle Creek</t>
  </si>
  <si>
    <t>Eagle Village</t>
  </si>
  <si>
    <t>Edna Bay</t>
  </si>
  <si>
    <t>Egegik</t>
  </si>
  <si>
    <t>Ekuk</t>
  </si>
  <si>
    <t>Elfin Cove</t>
  </si>
  <si>
    <t>Elim</t>
  </si>
  <si>
    <t>Emmonak</t>
  </si>
  <si>
    <t>Funny River</t>
  </si>
  <si>
    <t>Galena</t>
  </si>
  <si>
    <t>Gambell</t>
  </si>
  <si>
    <t>Gold Sands Acre</t>
  </si>
  <si>
    <t>Golovin</t>
  </si>
  <si>
    <t>Four Mile Road</t>
  </si>
  <si>
    <t>Fox River</t>
  </si>
  <si>
    <t>Fritz Creek</t>
  </si>
  <si>
    <t>GoodNews Bay</t>
  </si>
  <si>
    <t>Grayling</t>
  </si>
  <si>
    <t>Gustavus</t>
  </si>
  <si>
    <t>Halibut Cove</t>
  </si>
  <si>
    <t>Holy Cross</t>
  </si>
  <si>
    <t>Hoonah</t>
  </si>
  <si>
    <t>Hooper Bay</t>
  </si>
  <si>
    <t>Hope</t>
  </si>
  <si>
    <t>Igiugig</t>
  </si>
  <si>
    <t>Iliamna</t>
  </si>
  <si>
    <t>Ivanof Bay</t>
  </si>
  <si>
    <t>Kake</t>
  </si>
  <si>
    <t>Kaltag</t>
  </si>
  <si>
    <t>Karluk</t>
  </si>
  <si>
    <t>Kipnuk</t>
  </si>
  <si>
    <t>Kokhanok</t>
  </si>
  <si>
    <t>Kongiganak</t>
  </si>
  <si>
    <t>Kotlik</t>
  </si>
  <si>
    <t>Koyuk</t>
  </si>
  <si>
    <t>Koyukuk</t>
  </si>
  <si>
    <t>Kwigillingok</t>
  </si>
  <si>
    <t>Lake Louise</t>
  </si>
  <si>
    <t>Lake Minchumina</t>
  </si>
  <si>
    <t>Lime Village</t>
  </si>
  <si>
    <t>Lowell Point</t>
  </si>
  <si>
    <t>Lutak</t>
  </si>
  <si>
    <t>Manley Hot Springs</t>
  </si>
  <si>
    <t>Marshall</t>
  </si>
  <si>
    <t>Mary's Igloo</t>
  </si>
  <si>
    <t>McCarthy</t>
  </si>
  <si>
    <t>McGrath</t>
  </si>
  <si>
    <t>Mekoryuk</t>
  </si>
  <si>
    <t>Mendeltna</t>
  </si>
  <si>
    <t>Mentasta Lake</t>
  </si>
  <si>
    <t>Mertarvik</t>
  </si>
  <si>
    <t>Meyers Chuck</t>
  </si>
  <si>
    <t>Minto</t>
  </si>
  <si>
    <t>Moose Pass</t>
  </si>
  <si>
    <t>Mountain Village</t>
  </si>
  <si>
    <t>Nabesna</t>
  </si>
  <si>
    <t>Nanwalek</t>
  </si>
  <si>
    <t>Nelson Lagoon</t>
  </si>
  <si>
    <t>Newtok</t>
  </si>
  <si>
    <t>Nightmute</t>
  </si>
  <si>
    <t>Nikolaevsk</t>
  </si>
  <si>
    <t>Nikolai</t>
  </si>
  <si>
    <t>Nikolski</t>
  </si>
  <si>
    <t>Nondalton</t>
  </si>
  <si>
    <t>Northway Junction</t>
  </si>
  <si>
    <t>Northway</t>
  </si>
  <si>
    <t>Nulato</t>
  </si>
  <si>
    <t>Nunam Iqua</t>
  </si>
  <si>
    <t>Projects</t>
  </si>
  <si>
    <t>Noorvik</t>
  </si>
  <si>
    <t>Old Harbor</t>
  </si>
  <si>
    <t>Selawik</t>
  </si>
  <si>
    <t>Kivalina</t>
  </si>
  <si>
    <t>Kiana</t>
  </si>
  <si>
    <t>Kobuk</t>
  </si>
  <si>
    <t>Noatak</t>
  </si>
  <si>
    <t>Shungnak</t>
  </si>
  <si>
    <t>Buckland</t>
  </si>
  <si>
    <t>Ambler</t>
  </si>
  <si>
    <t>Deering</t>
  </si>
  <si>
    <t>Deltana</t>
  </si>
  <si>
    <t>Pasagshak</t>
  </si>
  <si>
    <t>Paxson</t>
  </si>
  <si>
    <t>Pedro Bay</t>
  </si>
  <si>
    <t>Pelican</t>
  </si>
  <si>
    <t>Petersville</t>
  </si>
  <si>
    <t>Pilot Point</t>
  </si>
  <si>
    <t>Pilot Station</t>
  </si>
  <si>
    <t>Pitkas Point</t>
  </si>
  <si>
    <t>Point Baker</t>
  </si>
  <si>
    <t>Pope Vannoy Landing</t>
  </si>
  <si>
    <t>Port Alexander</t>
  </si>
  <si>
    <t>Port Alsworth</t>
  </si>
  <si>
    <t>Port Clarence</t>
  </si>
  <si>
    <t>Port Graham</t>
  </si>
  <si>
    <t>Port Heiden</t>
  </si>
  <si>
    <t>Port Protection</t>
  </si>
  <si>
    <t>Portage Creek</t>
  </si>
  <si>
    <t>Primrose</t>
  </si>
  <si>
    <t>Rainbow</t>
  </si>
  <si>
    <t>Red Devil</t>
  </si>
  <si>
    <t>Ruby</t>
  </si>
  <si>
    <t>Russian Mission</t>
  </si>
  <si>
    <t>Savoonga</t>
  </si>
  <si>
    <t>Scammon Bay</t>
  </si>
  <si>
    <t>Seldovia</t>
  </si>
  <si>
    <t>Seldovia Village</t>
  </si>
  <si>
    <t>Shageluk</t>
  </si>
  <si>
    <t>Shaktoolik</t>
  </si>
  <si>
    <t>Shishmaref</t>
  </si>
  <si>
    <t>Skwentna</t>
  </si>
  <si>
    <t>Slana</t>
  </si>
  <si>
    <t>Sleetmute</t>
  </si>
  <si>
    <t>Solomon</t>
  </si>
  <si>
    <t>South Naknek</t>
  </si>
  <si>
    <t>Saint George</t>
  </si>
  <si>
    <t>Saint Mary's</t>
  </si>
  <si>
    <t>Saint Michael</t>
  </si>
  <si>
    <t>Saint Paul</t>
  </si>
  <si>
    <t>Stebbins</t>
  </si>
  <si>
    <t>Stony River</t>
  </si>
  <si>
    <t>Summit Lake</t>
  </si>
  <si>
    <t>Takotna</t>
  </si>
  <si>
    <t>Telida</t>
  </si>
  <si>
    <t>Huslia</t>
  </si>
  <si>
    <t>Hughes</t>
  </si>
  <si>
    <t>Alatna</t>
  </si>
  <si>
    <t>Alcan Border</t>
  </si>
  <si>
    <t>Aleneva</t>
  </si>
  <si>
    <t>Allakaket</t>
  </si>
  <si>
    <t>Evansville</t>
  </si>
  <si>
    <t>Excursion Inlet</t>
  </si>
  <si>
    <t>Eyak</t>
  </si>
  <si>
    <t>Bettles</t>
  </si>
  <si>
    <t>Flat</t>
  </si>
  <si>
    <t>Fort Glen</t>
  </si>
  <si>
    <t>Tenakee springs</t>
  </si>
  <si>
    <t>Thorne Bay</t>
  </si>
  <si>
    <t>Togiak</t>
  </si>
  <si>
    <t>Toksook Bay</t>
  </si>
  <si>
    <t>Trapper Creek</t>
  </si>
  <si>
    <t>Tununak</t>
  </si>
  <si>
    <t>Twin Hills</t>
  </si>
  <si>
    <t>Tyonek</t>
  </si>
  <si>
    <t>Ugashik</t>
  </si>
  <si>
    <t>Unalakleet</t>
  </si>
  <si>
    <t>Uyak</t>
  </si>
  <si>
    <t>Venetie</t>
  </si>
  <si>
    <t>Wales</t>
  </si>
  <si>
    <t>Wiseman</t>
  </si>
  <si>
    <t>Whale Pass</t>
  </si>
  <si>
    <t>White Mountain</t>
  </si>
  <si>
    <t>Whitestone</t>
  </si>
  <si>
    <t>Whitestone Logging Camp</t>
  </si>
  <si>
    <t>Womans Bay</t>
  </si>
  <si>
    <t>Yukon Crossing Station</t>
  </si>
  <si>
    <t>Underserved</t>
  </si>
  <si>
    <t>Craig</t>
  </si>
  <si>
    <t>Dot Lake</t>
  </si>
  <si>
    <t>Hydaburg</t>
  </si>
  <si>
    <t>Livengood</t>
  </si>
  <si>
    <t>Metlakatla</t>
  </si>
  <si>
    <t>Mud Bay</t>
  </si>
  <si>
    <t>Naukati Bay</t>
  </si>
  <si>
    <t>Nuiqsut</t>
  </si>
  <si>
    <t>Tanacross</t>
  </si>
  <si>
    <t>Tatitlek</t>
  </si>
  <si>
    <t>Tetlin</t>
  </si>
  <si>
    <t>Whittier</t>
  </si>
  <si>
    <t>Adak</t>
  </si>
  <si>
    <t>Akiachak</t>
  </si>
  <si>
    <t>Lower Kalskag</t>
  </si>
  <si>
    <t>Napakiak</t>
  </si>
  <si>
    <t>Tuluksak</t>
  </si>
  <si>
    <t>Upper Kalskag</t>
  </si>
  <si>
    <t>Beaver</t>
  </si>
  <si>
    <t>Candle</t>
  </si>
  <si>
    <t>Covenant Life</t>
  </si>
  <si>
    <t>Fort Yukon</t>
  </si>
  <si>
    <t>Rampart</t>
  </si>
  <si>
    <t>Stevens Village</t>
  </si>
  <si>
    <t>Tanana</t>
  </si>
  <si>
    <t>Coffman Cove</t>
  </si>
  <si>
    <t>Hollis</t>
  </si>
  <si>
    <t>Hyder</t>
  </si>
  <si>
    <t>Kasaan</t>
  </si>
  <si>
    <t>Klawock</t>
  </si>
  <si>
    <t>Klawock Lake</t>
  </si>
  <si>
    <t>Klukwan</t>
  </si>
  <si>
    <t>Mosquito Lake</t>
  </si>
  <si>
    <t>Wells</t>
  </si>
  <si>
    <t>Anaktuvuk Pass</t>
  </si>
  <si>
    <t>Kaktovik</t>
  </si>
  <si>
    <t>Point Lay</t>
  </si>
  <si>
    <t>Ekwok</t>
  </si>
  <si>
    <t>King Salmon</t>
  </si>
  <si>
    <t>Koliganek</t>
  </si>
  <si>
    <t>Kwethluk</t>
  </si>
  <si>
    <t>Levelock</t>
  </si>
  <si>
    <t>Naknek</t>
  </si>
  <si>
    <t>New Stuyahok</t>
  </si>
  <si>
    <t>Chenega</t>
  </si>
  <si>
    <t>Yakutat</t>
  </si>
  <si>
    <t xml:space="preserve">Perryville </t>
  </si>
  <si>
    <t>Akutan</t>
  </si>
  <si>
    <t>Chignik Bay</t>
  </si>
  <si>
    <t>King Cove</t>
  </si>
  <si>
    <t>Larsen Bay</t>
  </si>
  <si>
    <t>Sand Point</t>
  </si>
  <si>
    <t>Unalaska</t>
  </si>
  <si>
    <t>Bethel</t>
  </si>
  <si>
    <t>Eek</t>
  </si>
  <si>
    <t>Napaskiak</t>
  </si>
  <si>
    <t>Oscarville</t>
  </si>
  <si>
    <t>Platinum</t>
  </si>
  <si>
    <t>Chignik Lagoon</t>
  </si>
  <si>
    <t>Chignik Lake</t>
  </si>
  <si>
    <t>Cold Bay</t>
  </si>
  <si>
    <t>False Pass</t>
  </si>
  <si>
    <t>Ouzinkie</t>
  </si>
  <si>
    <t>Port Lyons</t>
  </si>
  <si>
    <t>Healy Lake</t>
  </si>
  <si>
    <t>Brevig Mission</t>
  </si>
  <si>
    <t>Teller</t>
  </si>
  <si>
    <t>Aleknagik</t>
  </si>
  <si>
    <t>Clarks Point</t>
  </si>
  <si>
    <t>Dillingham</t>
  </si>
  <si>
    <t>Manokotak</t>
  </si>
  <si>
    <t>Atmautluak</t>
  </si>
  <si>
    <t>Kasigluk</t>
  </si>
  <si>
    <t>Nunapitchuk</t>
  </si>
  <si>
    <t>Quinhagak</t>
  </si>
  <si>
    <t>Tuntutuliak</t>
  </si>
  <si>
    <t>Served</t>
  </si>
  <si>
    <t>Alpine</t>
  </si>
  <si>
    <t>Anchor Point</t>
  </si>
  <si>
    <t>Anchorage</t>
  </si>
  <si>
    <t>Anderson</t>
  </si>
  <si>
    <t>Angoon</t>
  </si>
  <si>
    <t>Atqasuk</t>
  </si>
  <si>
    <t>Auke Bay</t>
  </si>
  <si>
    <t>Badger</t>
  </si>
  <si>
    <t>Belforski</t>
  </si>
  <si>
    <t>Bear Creek</t>
  </si>
  <si>
    <t>Big Delta</t>
  </si>
  <si>
    <t>Big Lake</t>
  </si>
  <si>
    <t>Birchwood</t>
  </si>
  <si>
    <t>Bird</t>
  </si>
  <si>
    <t>Buffalo Soapstone</t>
  </si>
  <si>
    <t>Butte</t>
  </si>
  <si>
    <t>Cantwell</t>
  </si>
  <si>
    <t>Chase</t>
  </si>
  <si>
    <t>Chena Hot Springs</t>
  </si>
  <si>
    <t>Chena Ridge</t>
  </si>
  <si>
    <t>Chitina</t>
  </si>
  <si>
    <t>Chugiak</t>
  </si>
  <si>
    <t>Clam Gulch</t>
  </si>
  <si>
    <t>Clear</t>
  </si>
  <si>
    <t>Copper Center</t>
  </si>
  <si>
    <t>Cordova</t>
  </si>
  <si>
    <t>Delta Junction</t>
  </si>
  <si>
    <t>Denali Park</t>
  </si>
  <si>
    <t>Denali Village</t>
  </si>
  <si>
    <t>Diamond Ridge</t>
  </si>
  <si>
    <t>Eagle River</t>
  </si>
  <si>
    <t>Ester</t>
  </si>
  <si>
    <t>Eureka Roadhouse</t>
  </si>
  <si>
    <t>Fairbanks</t>
  </si>
  <si>
    <t>Farm Loop</t>
  </si>
  <si>
    <t>Farmers Loop</t>
  </si>
  <si>
    <t>Ferry</t>
  </si>
  <si>
    <t>Fishhook</t>
  </si>
  <si>
    <t>Fox</t>
  </si>
  <si>
    <t>Gakona</t>
  </si>
  <si>
    <t>Gateway</t>
  </si>
  <si>
    <t>Girdwood</t>
  </si>
  <si>
    <t>Glacier View</t>
  </si>
  <si>
    <t>Glennallen</t>
  </si>
  <si>
    <t>Goldstream</t>
  </si>
  <si>
    <t>Gulkana</t>
  </si>
  <si>
    <t>Haines</t>
  </si>
  <si>
    <t>Happy Valley</t>
  </si>
  <si>
    <t>Harding-Birch Lakes</t>
  </si>
  <si>
    <t>Healy</t>
  </si>
  <si>
    <t>Homer</t>
  </si>
  <si>
    <t>Houston</t>
  </si>
  <si>
    <t>Indian</t>
  </si>
  <si>
    <t>Juneau/Douglas</t>
  </si>
  <si>
    <t>Kachemak</t>
  </si>
  <si>
    <t>Kalifornsky</t>
  </si>
  <si>
    <t>Kasilof</t>
  </si>
  <si>
    <t>Kenai</t>
  </si>
  <si>
    <t>Kenny Lake</t>
  </si>
  <si>
    <t>Ketchikan</t>
  </si>
  <si>
    <t>Knik</t>
  </si>
  <si>
    <t>Knik River</t>
  </si>
  <si>
    <t>Kodiak</t>
  </si>
  <si>
    <t>Kodiak Station</t>
  </si>
  <si>
    <t>Kotzebue</t>
  </si>
  <si>
    <t>Kupreanof</t>
  </si>
  <si>
    <t>Nenana</t>
  </si>
  <si>
    <t>Lazy Mountain</t>
  </si>
  <si>
    <t>New Halen</t>
  </si>
  <si>
    <t>Meadow Lakes</t>
  </si>
  <si>
    <t>Nikiski</t>
  </si>
  <si>
    <t>Moose Creek</t>
  </si>
  <si>
    <t>Ninilchik</t>
  </si>
  <si>
    <t>Nome</t>
  </si>
  <si>
    <t>Palmer</t>
  </si>
  <si>
    <t>Petersburg</t>
  </si>
  <si>
    <t>Pleasant Valley</t>
  </si>
  <si>
    <t>Point Hope</t>
  </si>
  <si>
    <t>Point MacKinzie</t>
  </si>
  <si>
    <t>Prudhoe Bay</t>
  </si>
  <si>
    <t>Rabbit Creek</t>
  </si>
  <si>
    <t>Ridgeway</t>
  </si>
  <si>
    <t>Salamatof</t>
  </si>
  <si>
    <t>Salcha</t>
  </si>
  <si>
    <t>Saxman</t>
  </si>
  <si>
    <t>Seward</t>
  </si>
  <si>
    <t>Silver Springs</t>
  </si>
  <si>
    <t>Sitka</t>
  </si>
  <si>
    <t>Skagway</t>
  </si>
  <si>
    <t>Soldotna</t>
  </si>
  <si>
    <t>South Lakes</t>
  </si>
  <si>
    <t>Steele Creek</t>
  </si>
  <si>
    <t>South Van Horn</t>
  </si>
  <si>
    <t>Sterling</t>
  </si>
  <si>
    <t>Sunrise</t>
  </si>
  <si>
    <t>Susitna</t>
  </si>
  <si>
    <t>North Lakes</t>
  </si>
  <si>
    <t>North Pole</t>
  </si>
  <si>
    <t>Sutton</t>
  </si>
  <si>
    <t>Talkeetna</t>
  </si>
  <si>
    <t>Tanaina</t>
  </si>
  <si>
    <t>Tazlina</t>
  </si>
  <si>
    <t>Two Rivers</t>
  </si>
  <si>
    <t>Tok</t>
  </si>
  <si>
    <t>Tonsina</t>
  </si>
  <si>
    <t>Utqiagvik</t>
  </si>
  <si>
    <t>Valdez</t>
  </si>
  <si>
    <t>Wainwright</t>
  </si>
  <si>
    <t>Wasilla</t>
  </si>
  <si>
    <t>Willow</t>
  </si>
  <si>
    <t>Willow Creek</t>
  </si>
  <si>
    <t>Wrangell</t>
  </si>
  <si>
    <t>Cape Lisburne</t>
  </si>
  <si>
    <t>Cube Cove</t>
  </si>
  <si>
    <t>Eareckson Station</t>
  </si>
  <si>
    <t>Eielson AFB</t>
  </si>
  <si>
    <t>Fort Greeley</t>
  </si>
  <si>
    <t>Fort Wainwright</t>
  </si>
  <si>
    <t>JBER</t>
  </si>
  <si>
    <t>Red Dog Mine</t>
  </si>
  <si>
    <t>Part of Juneau</t>
  </si>
  <si>
    <t>Part of Kenai</t>
  </si>
  <si>
    <t>Part of Anchorage</t>
  </si>
  <si>
    <t>N/A</t>
  </si>
  <si>
    <t>estimate</t>
  </si>
  <si>
    <t>Meiers Lake</t>
  </si>
  <si>
    <t>Local Network Medium</t>
  </si>
  <si>
    <t>Middle Mile Medium</t>
  </si>
  <si>
    <t>Middle Mile Source Location</t>
  </si>
  <si>
    <t>Cost Lookup</t>
  </si>
  <si>
    <t>Fiber Middle Mile -- HighVoltage Overlash</t>
  </si>
  <si>
    <t>Fiber Middle Mile -- Pole Line</t>
  </si>
  <si>
    <t>Fiber Middle Mile -- Subsea</t>
  </si>
  <si>
    <t>Cost/Unit</t>
  </si>
  <si>
    <t>Fiber Middle Mile -- Roadbed</t>
  </si>
  <si>
    <t>Fiber</t>
  </si>
  <si>
    <t>Fiber Middle Mile -- Riverbed</t>
  </si>
  <si>
    <t>AlCan 1 SplicePoint</t>
  </si>
  <si>
    <t>Alexander Creek, Alaska - Demographics - Population (liquisearch.com)</t>
  </si>
  <si>
    <t>Comments</t>
  </si>
  <si>
    <t>In Progress</t>
  </si>
  <si>
    <t>Fiber Middle Mile -- Ground Lay</t>
  </si>
  <si>
    <t>MTA Fiber Glenn Highway</t>
  </si>
  <si>
    <t>MTA Splice Vault AlCan 1</t>
  </si>
  <si>
    <t>ACS Splice Box Womens Bay Kodiak</t>
  </si>
  <si>
    <t>Tie into Fiber Along Tok Highway</t>
  </si>
  <si>
    <t>Chuloonawick Tribe</t>
  </si>
  <si>
    <t>HEA or ACS fiber at Sterling Highway</t>
  </si>
  <si>
    <t>AT&amp;T, GCI or QG at Dalton Highway</t>
  </si>
  <si>
    <t xml:space="preserve">HEA Sterling </t>
  </si>
  <si>
    <t>Estimated Cost Village</t>
  </si>
  <si>
    <t>Estimated Cost Middle Mile</t>
  </si>
  <si>
    <t>Estimated Cost Sumtotal</t>
  </si>
  <si>
    <t>Railbelt Fiber</t>
  </si>
  <si>
    <t>Golovin Branching Unit</t>
  </si>
  <si>
    <t>Hoonah Branching Unit</t>
  </si>
  <si>
    <t>Parks Hwy Splice Point</t>
  </si>
  <si>
    <t>Fritz Cover</t>
  </si>
  <si>
    <t>Savoonga Branching Uit</t>
  </si>
  <si>
    <t>Excursion Inlet Branching Unit</t>
  </si>
  <si>
    <t>Juneau</t>
  </si>
  <si>
    <t>Portage</t>
  </si>
  <si>
    <t>N/A Fiber Exists</t>
  </si>
  <si>
    <t>Perryville</t>
  </si>
  <si>
    <t>Elim Branching Unit</t>
  </si>
  <si>
    <t>Fiber Teminus on LL Rd</t>
  </si>
  <si>
    <t>Fiber Junction Hwy 2</t>
  </si>
  <si>
    <t>Chitna</t>
  </si>
  <si>
    <t>Tununak Branching Unit</t>
  </si>
  <si>
    <t>Hooper Bay Branching Unit</t>
  </si>
  <si>
    <t>Port Heiden Branching Unit</t>
  </si>
  <si>
    <t>Tooksok Bay</t>
  </si>
  <si>
    <t>Fiber Junction at Northway Junction</t>
  </si>
  <si>
    <t>Launch Facility</t>
  </si>
  <si>
    <t>Elvin Cove Branching Unit</t>
  </si>
  <si>
    <t>Pilot Point to Egegik Branching Unit</t>
  </si>
  <si>
    <t>Edna Bay Branching Unit</t>
  </si>
  <si>
    <t>Nanwalek Branching Unit</t>
  </si>
  <si>
    <t>Pilot Point Branching Unit</t>
  </si>
  <si>
    <t>Upper Kalskag/Marshall Branching Unit</t>
  </si>
  <si>
    <t>Nelson Lagoon Branching Unit</t>
  </si>
  <si>
    <t>Unalakleet Branching Unit</t>
  </si>
  <si>
    <t>St George Branching Unit</t>
  </si>
  <si>
    <t>Nome Branching Unit</t>
  </si>
  <si>
    <t>Koyuk Branching Unit</t>
  </si>
  <si>
    <t>St Michael</t>
  </si>
  <si>
    <t>MTA AlCan1 Splice Point</t>
  </si>
  <si>
    <t>Mertavik Branching Unit</t>
  </si>
  <si>
    <t>Shaktoolik Branching Unit</t>
  </si>
  <si>
    <t xml:space="preserve">Seward Highway Junction </t>
  </si>
  <si>
    <t>Pt Macinzie</t>
  </si>
  <si>
    <t>Unit</t>
  </si>
  <si>
    <t>Home</t>
  </si>
  <si>
    <t>ft</t>
  </si>
  <si>
    <t>Barge</t>
  </si>
  <si>
    <t>Road</t>
  </si>
  <si>
    <t>Aircraft</t>
  </si>
  <si>
    <t>Staging</t>
  </si>
  <si>
    <t>Spares</t>
  </si>
  <si>
    <t>Engineering</t>
  </si>
  <si>
    <t>Sounding</t>
  </si>
  <si>
    <t>Shipping</t>
  </si>
  <si>
    <t>Intallation Labor</t>
  </si>
  <si>
    <t>Testing</t>
  </si>
  <si>
    <t>Signoff</t>
  </si>
  <si>
    <t>Operating Labor</t>
  </si>
  <si>
    <t>Ground Lay</t>
  </si>
  <si>
    <t>Pole Line</t>
  </si>
  <si>
    <t>Roadbed</t>
  </si>
  <si>
    <t>Riverbed</t>
  </si>
  <si>
    <t>Microwave</t>
  </si>
  <si>
    <t>High Voltage Overlash</t>
  </si>
  <si>
    <t>Free Standing</t>
  </si>
  <si>
    <t>Monopole</t>
  </si>
  <si>
    <t>GPS Track of Route</t>
  </si>
  <si>
    <t>Follow-up Route Drive</t>
  </si>
  <si>
    <t>Winter Road</t>
  </si>
  <si>
    <t>Pt McKinzie</t>
  </si>
  <si>
    <t>Ft Yukon</t>
  </si>
  <si>
    <t>Deadhorse</t>
  </si>
  <si>
    <t>State</t>
  </si>
  <si>
    <t>Federal</t>
  </si>
  <si>
    <t>Tribal</t>
  </si>
  <si>
    <t>Local</t>
  </si>
  <si>
    <t>OBS</t>
  </si>
  <si>
    <t>Medfra</t>
  </si>
  <si>
    <t>15.10.</t>
  </si>
  <si>
    <t>15.11.</t>
  </si>
  <si>
    <t>15.12.</t>
  </si>
  <si>
    <t>15.13.</t>
  </si>
  <si>
    <t>Poorman</t>
  </si>
  <si>
    <t>31.10.</t>
  </si>
  <si>
    <t>32.10.</t>
  </si>
  <si>
    <t>32.11.</t>
  </si>
  <si>
    <t>22.01.</t>
  </si>
  <si>
    <t>38.01.</t>
  </si>
  <si>
    <t>27.01.</t>
  </si>
  <si>
    <t>15.01.</t>
  </si>
  <si>
    <t>37.01.</t>
  </si>
  <si>
    <t>18.01.</t>
  </si>
  <si>
    <t>17.01.</t>
  </si>
  <si>
    <t>19.01.</t>
  </si>
  <si>
    <t>29.01.</t>
  </si>
  <si>
    <t>30.01.</t>
  </si>
  <si>
    <t>33.01.</t>
  </si>
  <si>
    <t>34.01.</t>
  </si>
  <si>
    <t>13.01.</t>
  </si>
  <si>
    <t>24.01.</t>
  </si>
  <si>
    <t>16.01.</t>
  </si>
  <si>
    <t>36.01.</t>
  </si>
  <si>
    <t>23.01.</t>
  </si>
  <si>
    <t>35.01.</t>
  </si>
  <si>
    <t>12.01.</t>
  </si>
  <si>
    <t>31.01.</t>
  </si>
  <si>
    <t>32.01.</t>
  </si>
  <si>
    <t>28.01.</t>
  </si>
  <si>
    <t>26.01.</t>
  </si>
  <si>
    <t>20.01.</t>
  </si>
  <si>
    <t>10.01.</t>
  </si>
  <si>
    <t>18.02.</t>
  </si>
  <si>
    <t>22.02.</t>
  </si>
  <si>
    <t>15.02.</t>
  </si>
  <si>
    <t>19.02.</t>
  </si>
  <si>
    <t>17.02.</t>
  </si>
  <si>
    <t>33.02.</t>
  </si>
  <si>
    <t>30.02.</t>
  </si>
  <si>
    <t>29.02.</t>
  </si>
  <si>
    <t>28.02.</t>
  </si>
  <si>
    <t>10.02.</t>
  </si>
  <si>
    <t>13.02.</t>
  </si>
  <si>
    <t>32.02.</t>
  </si>
  <si>
    <t>16.02.</t>
  </si>
  <si>
    <t>21.02.</t>
  </si>
  <si>
    <t>12.02.</t>
  </si>
  <si>
    <t>31.02.</t>
  </si>
  <si>
    <t>27.02.</t>
  </si>
  <si>
    <t>35.02.</t>
  </si>
  <si>
    <t>12.03.</t>
  </si>
  <si>
    <t>27.03.</t>
  </si>
  <si>
    <t>17.03.</t>
  </si>
  <si>
    <t>15.03.</t>
  </si>
  <si>
    <t>19.03.</t>
  </si>
  <si>
    <t>35.03.</t>
  </si>
  <si>
    <t>31.03.</t>
  </si>
  <si>
    <t>33.03.</t>
  </si>
  <si>
    <t>13.03.</t>
  </si>
  <si>
    <t>32.03.</t>
  </si>
  <si>
    <t>30.03.</t>
  </si>
  <si>
    <t>18.03.</t>
  </si>
  <si>
    <t>18.04.</t>
  </si>
  <si>
    <t>13.04.</t>
  </si>
  <si>
    <t>17.04.</t>
  </si>
  <si>
    <t>33.04.</t>
  </si>
  <si>
    <t>31.04.</t>
  </si>
  <si>
    <t>32.04.</t>
  </si>
  <si>
    <t>35.04.</t>
  </si>
  <si>
    <t>15.04.</t>
  </si>
  <si>
    <t>30.04.</t>
  </si>
  <si>
    <t>27.04.</t>
  </si>
  <si>
    <t>30.05.</t>
  </si>
  <si>
    <t>31.05.</t>
  </si>
  <si>
    <t>33.05.</t>
  </si>
  <si>
    <t>35.05.</t>
  </si>
  <si>
    <t>32.05.</t>
  </si>
  <si>
    <t>15.05.</t>
  </si>
  <si>
    <t>31.06.</t>
  </si>
  <si>
    <t>32.06.</t>
  </si>
  <si>
    <t>30.06.</t>
  </si>
  <si>
    <t>15.06.</t>
  </si>
  <si>
    <t>32.07.</t>
  </si>
  <si>
    <t>31.07.</t>
  </si>
  <si>
    <t>15.07.</t>
  </si>
  <si>
    <t>30.07.</t>
  </si>
  <si>
    <t>32.08.</t>
  </si>
  <si>
    <t>31.08.</t>
  </si>
  <si>
    <t>15.08.</t>
  </si>
  <si>
    <t>32.09.</t>
  </si>
  <si>
    <t>31.09.</t>
  </si>
  <si>
    <t>15.09.</t>
  </si>
  <si>
    <t>25.01.</t>
  </si>
  <si>
    <t>11.01.</t>
  </si>
  <si>
    <t>21.01.</t>
  </si>
  <si>
    <t>39.01.</t>
  </si>
  <si>
    <t>40.01.</t>
  </si>
  <si>
    <t>41.01.</t>
  </si>
  <si>
    <t>42.01.</t>
  </si>
  <si>
    <t>42.02.</t>
  </si>
  <si>
    <t>43.01.</t>
  </si>
  <si>
    <t>44.01.</t>
  </si>
  <si>
    <t>45.01.</t>
  </si>
  <si>
    <t>46.01.</t>
  </si>
  <si>
    <t>Clarkes Point</t>
  </si>
  <si>
    <t>47.01.</t>
  </si>
  <si>
    <t>48.01.</t>
  </si>
  <si>
    <t>49.01.</t>
  </si>
  <si>
    <t>50.01.</t>
  </si>
  <si>
    <t>51.01.</t>
  </si>
  <si>
    <t>81.01.</t>
  </si>
  <si>
    <t>52.01.</t>
  </si>
  <si>
    <t>53.01.</t>
  </si>
  <si>
    <t>35.06.</t>
  </si>
  <si>
    <t>54.01.</t>
  </si>
  <si>
    <t>55.01.</t>
  </si>
  <si>
    <t>66.01.</t>
  </si>
  <si>
    <t>55.02.</t>
  </si>
  <si>
    <t>56.01.</t>
  </si>
  <si>
    <t>57.01.</t>
  </si>
  <si>
    <t>58.01.</t>
  </si>
  <si>
    <t>59.01.</t>
  </si>
  <si>
    <t>60.01.</t>
  </si>
  <si>
    <t>61.01.</t>
  </si>
  <si>
    <t>63.01.</t>
  </si>
  <si>
    <t>65.01.</t>
  </si>
  <si>
    <t>62.01.</t>
  </si>
  <si>
    <t>64.01.</t>
  </si>
  <si>
    <t>67.01.</t>
  </si>
  <si>
    <t>68.01.</t>
  </si>
  <si>
    <t>69.01.</t>
  </si>
  <si>
    <t>70.01.</t>
  </si>
  <si>
    <t>Nelchina</t>
  </si>
  <si>
    <t>71.01.</t>
  </si>
  <si>
    <t>72.01.</t>
  </si>
  <si>
    <t>73.01.</t>
  </si>
  <si>
    <t>74.01.</t>
  </si>
  <si>
    <t>75.01.</t>
  </si>
  <si>
    <t>76.01.</t>
  </si>
  <si>
    <t>77.01.</t>
  </si>
  <si>
    <t>78.01.</t>
  </si>
  <si>
    <t>79.01.</t>
  </si>
  <si>
    <t>33.06.</t>
  </si>
  <si>
    <t>80.01.</t>
  </si>
  <si>
    <t>11.00.</t>
  </si>
  <si>
    <t>Distance to Village (ft)</t>
  </si>
  <si>
    <t>OPMP</t>
  </si>
  <si>
    <t>Subsea Fiber/ft</t>
  </si>
  <si>
    <t>High Voltage Overlash/ft</t>
  </si>
  <si>
    <t>Self Supporting Fiber/ft</t>
  </si>
  <si>
    <t>Direct Buried Fiber/ft</t>
  </si>
  <si>
    <t>Conduit Fiber/ft</t>
  </si>
  <si>
    <t>Electronics (/shelter)</t>
  </si>
  <si>
    <t>Steel Tower (100ft)</t>
  </si>
  <si>
    <t>Summer Build/Ft</t>
  </si>
  <si>
    <t>Winter Build/Ft</t>
  </si>
  <si>
    <t>/ft</t>
  </si>
  <si>
    <t>Annual</t>
  </si>
  <si>
    <t>Mobilization</t>
  </si>
  <si>
    <t>Permitting (/project)</t>
  </si>
  <si>
    <t>Subsea Fiber (Repeatered) /ft</t>
  </si>
  <si>
    <t>Permit Management</t>
  </si>
  <si>
    <t>Sum of all pertinent</t>
  </si>
  <si>
    <t>Fiber Materials</t>
  </si>
  <si>
    <t>Microwave Materials</t>
  </si>
  <si>
    <t>Central Offices</t>
  </si>
  <si>
    <t>Fiber Middle Mile -- Ground Lay (Repeatered)</t>
  </si>
  <si>
    <t>Fiber Middle Mile -- Subsea (Repeatered)</t>
  </si>
  <si>
    <t>01.</t>
  </si>
  <si>
    <t>02.</t>
  </si>
  <si>
    <t>03.</t>
  </si>
  <si>
    <t>04.</t>
  </si>
  <si>
    <t>05.</t>
  </si>
  <si>
    <t>06.</t>
  </si>
  <si>
    <t>07.</t>
  </si>
  <si>
    <t>08.</t>
  </si>
  <si>
    <t>00.</t>
  </si>
  <si>
    <t>90.</t>
  </si>
  <si>
    <t>91.</t>
  </si>
  <si>
    <t>92.</t>
  </si>
  <si>
    <t>93.</t>
  </si>
  <si>
    <t>94.</t>
  </si>
  <si>
    <t>95.</t>
  </si>
  <si>
    <t>10.</t>
  </si>
  <si>
    <t>09.</t>
  </si>
  <si>
    <t>11.</t>
  </si>
  <si>
    <t>13.</t>
  </si>
  <si>
    <t>12.</t>
  </si>
  <si>
    <t>14.</t>
  </si>
  <si>
    <t>15.</t>
  </si>
  <si>
    <t>16.</t>
  </si>
  <si>
    <t>Microwave Middle Mile -- Monopole</t>
  </si>
  <si>
    <t>Microwave Middle Mile -- Free Standing</t>
  </si>
  <si>
    <t>Each</t>
  </si>
  <si>
    <t>Ground Lay (repeatered)</t>
  </si>
  <si>
    <t>Subsea (repeatered)</t>
  </si>
  <si>
    <t xml:space="preserve">Subsea </t>
  </si>
  <si>
    <t>Medium</t>
  </si>
  <si>
    <t>One Time Cost</t>
  </si>
  <si>
    <t>Fiber -- Village Cost</t>
  </si>
  <si>
    <t>Special secondary formula for different middle mile technology</t>
  </si>
  <si>
    <t>Rem.001</t>
  </si>
  <si>
    <t>Rem.002</t>
  </si>
  <si>
    <t>Rem.003</t>
  </si>
  <si>
    <t>Rem.004</t>
  </si>
  <si>
    <t>Rem.005</t>
  </si>
  <si>
    <t>Rem.006</t>
  </si>
  <si>
    <t>Rem.007</t>
  </si>
  <si>
    <t>Rem.008</t>
  </si>
  <si>
    <t>1. Welcome to the Alaska Broadband Office -- Internet For All - Universal Broadband Service Model</t>
  </si>
  <si>
    <t xml:space="preserve">2. The Broadband Office welcomes anyone who has interest to provide feedback and inputs for and into the Model </t>
  </si>
  <si>
    <t>3.1. The Model is built to provide 100Mbps download bandwidth and 20Mbps upload bandwidth upon completion of the network element</t>
  </si>
  <si>
    <r>
      <t>3.2. The Network Model is designed such that it anticipates that within five years of the netowrk completion, the minimum, affordable, consumer bandwidth will need to be 1Gbps/1Gbps</t>
    </r>
    <r>
      <rPr>
        <vertAlign val="superscript"/>
        <sz val="11"/>
        <color theme="1"/>
        <rFont val="Calibri"/>
        <family val="2"/>
        <scheme val="minor"/>
      </rPr>
      <t>1</t>
    </r>
    <r>
      <rPr>
        <sz val="11"/>
        <color theme="1"/>
        <rFont val="Calibri"/>
        <family val="2"/>
        <scheme val="minor"/>
      </rPr>
      <t xml:space="preserve">  </t>
    </r>
  </si>
  <si>
    <t>4. Variables:  The changeable variables in the Model, Cost Basis and Cost Basis Detail Sheets are highlighted in Green</t>
  </si>
  <si>
    <t>5. Formulas:  If any of the formulas are changed, the individual or company that changes the formula will need to submit a detail of the change and a reason for the change for the edit to be considered by the Alaska Broadband Office</t>
  </si>
  <si>
    <r>
      <t xml:space="preserve">From </t>
    </r>
    <r>
      <rPr>
        <b/>
        <sz val="8"/>
        <color theme="1"/>
        <rFont val="Calibri"/>
        <family val="2"/>
        <scheme val="minor"/>
      </rPr>
      <t>Cost Basis Detail</t>
    </r>
    <r>
      <rPr>
        <sz val="8"/>
        <color theme="1"/>
        <rFont val="Calibri"/>
        <family val="2"/>
        <scheme val="minor"/>
      </rPr>
      <t xml:space="preserve"> Sheet</t>
    </r>
  </si>
  <si>
    <t>Rem.009</t>
  </si>
  <si>
    <t>Oth.001</t>
  </si>
  <si>
    <t>Prg.001</t>
  </si>
  <si>
    <t>Prg.002</t>
  </si>
  <si>
    <t>Prg.003</t>
  </si>
  <si>
    <t>Prg.004</t>
  </si>
  <si>
    <t>Prg.005</t>
  </si>
  <si>
    <t>Prg.006</t>
  </si>
  <si>
    <t>Prg.007</t>
  </si>
  <si>
    <t>Prg.008</t>
  </si>
  <si>
    <t>Prg.009</t>
  </si>
  <si>
    <t>Prg.010</t>
  </si>
  <si>
    <t>Prg.011</t>
  </si>
  <si>
    <t>Prg.012</t>
  </si>
  <si>
    <t>Prg.013</t>
  </si>
  <si>
    <t>Prg.014</t>
  </si>
  <si>
    <t>Prg.015</t>
  </si>
  <si>
    <t>Prg.016</t>
  </si>
  <si>
    <t>Prg.017</t>
  </si>
  <si>
    <t>Prg.018</t>
  </si>
  <si>
    <t>Prg.019</t>
  </si>
  <si>
    <t>Prg.020</t>
  </si>
  <si>
    <t>Prg.021</t>
  </si>
  <si>
    <t>Prg.022</t>
  </si>
  <si>
    <t>Prg.023</t>
  </si>
  <si>
    <t>Prg.024</t>
  </si>
  <si>
    <t>Prg.025</t>
  </si>
  <si>
    <t>Prg.026</t>
  </si>
  <si>
    <t>Prg.027</t>
  </si>
  <si>
    <t>Prg.028</t>
  </si>
  <si>
    <t>Prg.029</t>
  </si>
  <si>
    <t>Prg.030</t>
  </si>
  <si>
    <t>Prg.031</t>
  </si>
  <si>
    <t>Prg.032</t>
  </si>
  <si>
    <t>Prg.033</t>
  </si>
  <si>
    <t>Prg.034</t>
  </si>
  <si>
    <t>Prg.035</t>
  </si>
  <si>
    <t>Prg.036</t>
  </si>
  <si>
    <t>Prg.037</t>
  </si>
  <si>
    <t>Prg.038</t>
  </si>
  <si>
    <t>Prg.039</t>
  </si>
  <si>
    <t>Prg.040</t>
  </si>
  <si>
    <t>Prg.041</t>
  </si>
  <si>
    <t>Prg.042</t>
  </si>
  <si>
    <t>Prg.043</t>
  </si>
  <si>
    <t>Prg.044</t>
  </si>
  <si>
    <t>Prg.045</t>
  </si>
  <si>
    <t>Prg.046</t>
  </si>
  <si>
    <t>Prg.047</t>
  </si>
  <si>
    <t>Prg.048</t>
  </si>
  <si>
    <t>Prg.049</t>
  </si>
  <si>
    <t>Prg.050</t>
  </si>
  <si>
    <t>Prg.051</t>
  </si>
  <si>
    <t>Prg.052</t>
  </si>
  <si>
    <t>Prg.053</t>
  </si>
  <si>
    <t>Prg.054</t>
  </si>
  <si>
    <t>Prg.055</t>
  </si>
  <si>
    <t>Prg.056</t>
  </si>
  <si>
    <t>Prg.057</t>
  </si>
  <si>
    <t>Prg.058</t>
  </si>
  <si>
    <t>Prg.059</t>
  </si>
  <si>
    <t>Prg.060</t>
  </si>
  <si>
    <t>Prg.061</t>
  </si>
  <si>
    <t>Prg.062</t>
  </si>
  <si>
    <t>Prg.063</t>
  </si>
  <si>
    <t>Prg.064</t>
  </si>
  <si>
    <t>Prg.065</t>
  </si>
  <si>
    <t>Prg.066</t>
  </si>
  <si>
    <t>Prg.067</t>
  </si>
  <si>
    <t>Prg.068</t>
  </si>
  <si>
    <t>Prg.069</t>
  </si>
  <si>
    <t>Prg.070</t>
  </si>
  <si>
    <t>Prg.071</t>
  </si>
  <si>
    <t>Prg.072</t>
  </si>
  <si>
    <t>Prg.073</t>
  </si>
  <si>
    <t>Prg.074</t>
  </si>
  <si>
    <t>Prg.075</t>
  </si>
  <si>
    <t>Prg.076</t>
  </si>
  <si>
    <t>Prg.077</t>
  </si>
  <si>
    <t>Prg.078</t>
  </si>
  <si>
    <t>Prg.079</t>
  </si>
  <si>
    <t>Prg.080</t>
  </si>
  <si>
    <t>Prg.081</t>
  </si>
  <si>
    <t>Srv.001</t>
  </si>
  <si>
    <t>Srv.002</t>
  </si>
  <si>
    <t>Srv.003</t>
  </si>
  <si>
    <t>Srv.004</t>
  </si>
  <si>
    <t>Srv.005</t>
  </si>
  <si>
    <t>Srv.006</t>
  </si>
  <si>
    <t>Srv.007</t>
  </si>
  <si>
    <t>Srv.008</t>
  </si>
  <si>
    <t>Srv.009</t>
  </si>
  <si>
    <t>Srv.010</t>
  </si>
  <si>
    <t>Srv.011</t>
  </si>
  <si>
    <t>Srv.012</t>
  </si>
  <si>
    <t>Srv.013</t>
  </si>
  <si>
    <t>Srv.014</t>
  </si>
  <si>
    <t>Srv.015</t>
  </si>
  <si>
    <t>Srv.016</t>
  </si>
  <si>
    <t>Srv.017</t>
  </si>
  <si>
    <t>Srv.018</t>
  </si>
  <si>
    <t>Srv.019</t>
  </si>
  <si>
    <t>Srv.020</t>
  </si>
  <si>
    <t>Srv.021</t>
  </si>
  <si>
    <t>Srv.022</t>
  </si>
  <si>
    <t>Srv.023</t>
  </si>
  <si>
    <t>Srv.024</t>
  </si>
  <si>
    <t>Srv.025</t>
  </si>
  <si>
    <t>Srv.026</t>
  </si>
  <si>
    <t>Srv.027</t>
  </si>
  <si>
    <t>Srv.028</t>
  </si>
  <si>
    <t>Srv.029</t>
  </si>
  <si>
    <t>Srv.030</t>
  </si>
  <si>
    <t>Srv.031</t>
  </si>
  <si>
    <t>Srv.032</t>
  </si>
  <si>
    <t>Srv.033</t>
  </si>
  <si>
    <t>Srv.034</t>
  </si>
  <si>
    <t>Srv.035</t>
  </si>
  <si>
    <t>Srv.036</t>
  </si>
  <si>
    <t>Srv.037</t>
  </si>
  <si>
    <t>Srv.038</t>
  </si>
  <si>
    <t>Srv.039</t>
  </si>
  <si>
    <t>Srv.040</t>
  </si>
  <si>
    <t>Srv.041</t>
  </si>
  <si>
    <t>Srv.042</t>
  </si>
  <si>
    <t>Srv.043</t>
  </si>
  <si>
    <t>Srv.044</t>
  </si>
  <si>
    <t>Srv.045</t>
  </si>
  <si>
    <t>Srv.046</t>
  </si>
  <si>
    <t>Srv.047</t>
  </si>
  <si>
    <t>Srv.048</t>
  </si>
  <si>
    <t>Srv.049</t>
  </si>
  <si>
    <t>Srv.050</t>
  </si>
  <si>
    <t>Srv.051</t>
  </si>
  <si>
    <t>Srv.052</t>
  </si>
  <si>
    <t>Srv.053</t>
  </si>
  <si>
    <t>Srv.054</t>
  </si>
  <si>
    <t>Srv.055</t>
  </si>
  <si>
    <t>Srv.056</t>
  </si>
  <si>
    <t>Srv.057</t>
  </si>
  <si>
    <t>Srv.058</t>
  </si>
  <si>
    <t>Srv.059</t>
  </si>
  <si>
    <t>Srv.060</t>
  </si>
  <si>
    <t>Srv.061</t>
  </si>
  <si>
    <t>Srv.062</t>
  </si>
  <si>
    <t>Srv.063</t>
  </si>
  <si>
    <t>Srv.064</t>
  </si>
  <si>
    <t>Srv.065</t>
  </si>
  <si>
    <t>Srv.066</t>
  </si>
  <si>
    <t>Srv.067</t>
  </si>
  <si>
    <t>Srv.068</t>
  </si>
  <si>
    <t>Srv.069</t>
  </si>
  <si>
    <t>Srv.070</t>
  </si>
  <si>
    <t>Srv.071</t>
  </si>
  <si>
    <t>Srv.072</t>
  </si>
  <si>
    <t>Srv.073</t>
  </si>
  <si>
    <t>Srv.075</t>
  </si>
  <si>
    <t>Srv.076</t>
  </si>
  <si>
    <t>Srv.077</t>
  </si>
  <si>
    <t>Srv.078</t>
  </si>
  <si>
    <t>Srv.079</t>
  </si>
  <si>
    <t>Srv.080</t>
  </si>
  <si>
    <t>Srv.081</t>
  </si>
  <si>
    <t>Srv.082</t>
  </si>
  <si>
    <t>Srv.083</t>
  </si>
  <si>
    <t>Srv.084</t>
  </si>
  <si>
    <t>Srv.085</t>
  </si>
  <si>
    <t>Srv.086</t>
  </si>
  <si>
    <t>Srv.087</t>
  </si>
  <si>
    <t>Srv.088</t>
  </si>
  <si>
    <t>Srv.089</t>
  </si>
  <si>
    <t>Srv.090</t>
  </si>
  <si>
    <t>Srv.091</t>
  </si>
  <si>
    <t>Srv.092</t>
  </si>
  <si>
    <t>Srv.093</t>
  </si>
  <si>
    <t>Srv.094</t>
  </si>
  <si>
    <t>Srv.095</t>
  </si>
  <si>
    <t>Srv.096</t>
  </si>
  <si>
    <t>Srv.097</t>
  </si>
  <si>
    <t>Srv.098</t>
  </si>
  <si>
    <t>Srv.099</t>
  </si>
  <si>
    <t>Srv.100</t>
  </si>
  <si>
    <t>Srv.101</t>
  </si>
  <si>
    <t>Srv.102</t>
  </si>
  <si>
    <t>Srv.103</t>
  </si>
  <si>
    <t>Srv.104</t>
  </si>
  <si>
    <t>Srv.105</t>
  </si>
  <si>
    <t>Srv.106</t>
  </si>
  <si>
    <t>Srv.107</t>
  </si>
  <si>
    <t>Srv.108</t>
  </si>
  <si>
    <t>Srv.109</t>
  </si>
  <si>
    <t>Srv.110</t>
  </si>
  <si>
    <t>Srv.111</t>
  </si>
  <si>
    <t>Srv.112</t>
  </si>
  <si>
    <t>Srv.113</t>
  </si>
  <si>
    <t>Srv.114</t>
  </si>
  <si>
    <t>Srv.115</t>
  </si>
  <si>
    <t xml:space="preserve">From the NOFO footnote 6: NTIA expects Eligible Entities to set the Extremely High Cost Per Location Threshold as high as possible to help ensure that end-to-end fiber projects are deployed wherever feasible. </t>
  </si>
  <si>
    <t>Footnotes:</t>
  </si>
  <si>
    <t>From the NoFO section IV.B.7  (page •	Affordability. The prospective subgrantee’s commitment to provide the most affordable total price to the customer for 1 Gbps/1 Gbps service in the project area.</t>
  </si>
  <si>
    <t>Engineering %</t>
  </si>
  <si>
    <t>01.01.</t>
  </si>
  <si>
    <t>01.02.</t>
  </si>
  <si>
    <t>01.03.</t>
  </si>
  <si>
    <t>02.01.</t>
  </si>
  <si>
    <t>03.01.</t>
  </si>
  <si>
    <t>03.02.</t>
  </si>
  <si>
    <t>03.03.</t>
  </si>
  <si>
    <t>04.01.</t>
  </si>
  <si>
    <t>04.02.</t>
  </si>
  <si>
    <t>04.03.</t>
  </si>
  <si>
    <t>04.04.</t>
  </si>
  <si>
    <t>04.05.</t>
  </si>
  <si>
    <t>04.06.</t>
  </si>
  <si>
    <t>04.07.</t>
  </si>
  <si>
    <t>04.08.</t>
  </si>
  <si>
    <t>04.08.01</t>
  </si>
  <si>
    <t>04.09.</t>
  </si>
  <si>
    <t>04.10.</t>
  </si>
  <si>
    <t>04.11.</t>
  </si>
  <si>
    <t>05.01.</t>
  </si>
  <si>
    <t>05.02.</t>
  </si>
  <si>
    <t>06.01.</t>
  </si>
  <si>
    <t>07.01.</t>
  </si>
  <si>
    <t>07.02.</t>
  </si>
  <si>
    <t>07.03.</t>
  </si>
  <si>
    <t>07.03.01.</t>
  </si>
  <si>
    <t>07.04.</t>
  </si>
  <si>
    <t>07.05.</t>
  </si>
  <si>
    <t>07.06.</t>
  </si>
  <si>
    <t>07.07.</t>
  </si>
  <si>
    <t>08.01.</t>
  </si>
  <si>
    <t>08.02.</t>
  </si>
  <si>
    <t>08.03.</t>
  </si>
  <si>
    <t>09.01.</t>
  </si>
  <si>
    <t>Rem.010</t>
  </si>
  <si>
    <t>Just North of Paxson</t>
  </si>
  <si>
    <t>Rem.011</t>
  </si>
  <si>
    <t>Need an additional fiber leg to the island</t>
  </si>
  <si>
    <t>Included in the Northway Count</t>
  </si>
  <si>
    <t>Oth.002</t>
  </si>
  <si>
    <t>Oth.003</t>
  </si>
  <si>
    <t>Oth.004</t>
  </si>
  <si>
    <t>Oth.005</t>
  </si>
  <si>
    <t>Oth.006</t>
  </si>
  <si>
    <t>Oth.007</t>
  </si>
  <si>
    <t>Oth.008</t>
  </si>
  <si>
    <t>Oth.009</t>
  </si>
  <si>
    <t>04.10.01</t>
  </si>
  <si>
    <t>04.10.02</t>
  </si>
  <si>
    <t>Mekoryuk Brancing Unit</t>
  </si>
  <si>
    <t>04.11.01</t>
  </si>
  <si>
    <t>Special secondary formula for an additional 345 mile link to the Quinhagak Branching Unit</t>
  </si>
  <si>
    <t>Fiber Materials (Including shipping)</t>
  </si>
  <si>
    <r>
      <t>Shelter (/shelter)</t>
    </r>
    <r>
      <rPr>
        <vertAlign val="superscript"/>
        <sz val="8"/>
        <color theme="1"/>
        <rFont val="Calibri"/>
        <family val="2"/>
        <scheme val="minor"/>
      </rPr>
      <t>1</t>
    </r>
  </si>
  <si>
    <t>Generator (+shelter/install)</t>
  </si>
  <si>
    <t>Cable Landing Station (/shelter)</t>
  </si>
  <si>
    <r>
      <t>Intallation Labor</t>
    </r>
    <r>
      <rPr>
        <vertAlign val="superscript"/>
        <sz val="8"/>
        <color theme="1"/>
        <rFont val="Calibri"/>
        <family val="2"/>
        <scheme val="minor"/>
      </rPr>
      <t>2</t>
    </r>
  </si>
  <si>
    <t>Mobilization/Demobilization</t>
  </si>
  <si>
    <t>2. May need an increase to accommodate average weather delay duration</t>
  </si>
  <si>
    <t>1. A 10' x 20', integrated with DC power, batteries (8hr), racks, fire suppression (clean agent), HVAC, and coastal design (where applicable)</t>
  </si>
  <si>
    <t>estimated</t>
  </si>
  <si>
    <t>In Miles</t>
  </si>
  <si>
    <t>Satellite -- Geostationary</t>
  </si>
  <si>
    <r>
      <t>3.3. The Network Model contemplates a preference for fiber</t>
    </r>
    <r>
      <rPr>
        <vertAlign val="superscript"/>
        <sz val="11"/>
        <color theme="1"/>
        <rFont val="Calibri"/>
        <family val="2"/>
        <scheme val="minor"/>
      </rPr>
      <t>2</t>
    </r>
    <r>
      <rPr>
        <sz val="11"/>
        <color theme="1"/>
        <rFont val="Calibri"/>
        <family val="2"/>
        <scheme val="minor"/>
      </rPr>
      <t xml:space="preserve"> , but the Model does not exclude other infrastructure formats</t>
    </r>
  </si>
  <si>
    <t xml:space="preserve">3. There are a few items that an individual or group will need to take into account when making modifications to the Model.  The Modifications must ensure that the following sub-rules (3.1., 3.2. &amp; 3.3.) are adhered to. </t>
  </si>
  <si>
    <t>Bering Straits</t>
  </si>
  <si>
    <t>Y-K Delta</t>
  </si>
  <si>
    <t>Bristol Bay</t>
  </si>
  <si>
    <t>Aleut</t>
  </si>
  <si>
    <t>Interior</t>
  </si>
  <si>
    <t>Chugach</t>
  </si>
  <si>
    <t>Cook Inlet</t>
  </si>
  <si>
    <t>Southeast</t>
  </si>
  <si>
    <t>Copper River</t>
  </si>
  <si>
    <t>Arctic Slope</t>
  </si>
  <si>
    <t>Ohogamiut</t>
  </si>
  <si>
    <t>ANCSA Geographic Region</t>
  </si>
  <si>
    <t>Version</t>
  </si>
  <si>
    <t>Date</t>
  </si>
  <si>
    <t>Changes from Previous Version</t>
  </si>
  <si>
    <t>R1</t>
  </si>
  <si>
    <t>Original</t>
  </si>
  <si>
    <t>Q:</t>
  </si>
  <si>
    <t>A:</t>
  </si>
  <si>
    <r>
      <t xml:space="preserve">Note: This model was updated on </t>
    </r>
    <r>
      <rPr>
        <b/>
        <sz val="11"/>
        <color theme="1"/>
        <rFont val="Calibri"/>
        <family val="2"/>
        <scheme val="minor"/>
      </rPr>
      <t>02-02-2023</t>
    </r>
    <r>
      <rPr>
        <sz val="11"/>
        <color theme="1"/>
        <rFont val="Calibri"/>
        <family val="2"/>
        <scheme val="minor"/>
      </rPr>
      <t>. Check the Alaska Broadband Website to find the latest version. If you have questions on how to use this capital cost model to estimate the cost of building broadband projects, please contact the Alaska Broadband Office.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</si>
</sst>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3" formatCode="_(* #,##0.00_);_(* \(#,##0.00\);_(* &quot;-&quot;??_);_(@_)"/>
    <numFmt numFmtId="164" formatCode="_(* #,##0_);_(* \(#,##0\);_(* &quot;-&quot;??_);_(@_)"/>
    <numFmt numFmtId="165" formatCode="_(* #,##0.000_);_(* \(#,##0.000\);_(* &quot;-&quot;??_);_(@_)"/>
    <numFmt numFmtId="166"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8"/>
      <name val="Calibri"/>
      <family val="2"/>
      <scheme val="minor"/>
    </font>
    <font>
      <b/>
      <sz val="8"/>
      <color theme="1"/>
      <name val="Calibri"/>
      <family val="2"/>
      <scheme val="minor"/>
    </font>
    <font>
      <sz val="8"/>
      <color theme="1"/>
      <name val="Calibri"/>
      <family val="2"/>
      <scheme val="minor"/>
    </font>
    <font>
      <vertAlign val="superscript"/>
      <sz val="11"/>
      <color theme="1"/>
      <name val="Calibri"/>
      <family val="2"/>
      <scheme val="minor"/>
    </font>
    <font>
      <sz val="9"/>
      <color theme="1"/>
      <name val="Calibri"/>
      <family val="2"/>
      <scheme val="minor"/>
    </font>
    <font>
      <b/>
      <sz val="11"/>
      <color theme="0"/>
      <name val="Calibri"/>
      <family val="2"/>
      <scheme val="minor"/>
    </font>
    <font>
      <vertAlign val="superscript"/>
      <sz val="8"/>
      <color theme="1"/>
      <name val="Calibri"/>
      <family val="2"/>
      <scheme val="minor"/>
    </font>
    <font>
      <b/>
      <sz val="8"/>
      <color theme="0"/>
      <name val="Calibri"/>
      <family val="2"/>
      <scheme val="minor"/>
    </font>
    <font>
      <sz val="8"/>
      <color theme="0"/>
      <name val="Calibri"/>
      <family val="2"/>
      <scheme val="minor"/>
    </font>
    <font>
      <b/>
      <sz val="8"/>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5" tint="0.79998168889431442"/>
        <bgColor indexed="64"/>
      </patternFill>
    </fill>
    <fill>
      <patternFill patternType="solid">
        <fgColor theme="0" tint="-0.34998626667073579"/>
        <bgColor indexed="64"/>
      </patternFill>
    </fill>
  </fills>
  <borders count="5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280">
    <xf numFmtId="0" fontId="0" fillId="0" borderId="0" xfId="0"/>
    <xf numFmtId="0" fontId="2" fillId="0" borderId="0" xfId="0" applyFont="1" applyAlignment="1">
      <alignment horizontal="center" vertical="top" wrapText="1"/>
    </xf>
    <xf numFmtId="0" fontId="0" fillId="0" borderId="0" xfId="0" applyAlignment="1">
      <alignment vertical="top"/>
    </xf>
    <xf numFmtId="164" fontId="0" fillId="0" borderId="0" xfId="1" applyNumberFormat="1" applyFont="1" applyAlignment="1">
      <alignment vertical="top"/>
    </xf>
    <xf numFmtId="0" fontId="2" fillId="0" borderId="0" xfId="0" applyFont="1" applyAlignment="1">
      <alignment vertical="top"/>
    </xf>
    <xf numFmtId="0" fontId="5" fillId="0" borderId="0" xfId="0" applyFont="1" applyAlignment="1">
      <alignment horizontal="center" vertical="top" wrapText="1"/>
    </xf>
    <xf numFmtId="0" fontId="6" fillId="0" borderId="1" xfId="0" applyFont="1" applyBorder="1"/>
    <xf numFmtId="0" fontId="6" fillId="0" borderId="0" xfId="0" applyFont="1"/>
    <xf numFmtId="0" fontId="6" fillId="0" borderId="3" xfId="0" applyFont="1" applyBorder="1"/>
    <xf numFmtId="0" fontId="6" fillId="0" borderId="7" xfId="0" applyFont="1" applyBorder="1"/>
    <xf numFmtId="6" fontId="6" fillId="0" borderId="4" xfId="0" applyNumberFormat="1" applyFont="1" applyBorder="1"/>
    <xf numFmtId="0" fontId="6" fillId="0" borderId="5" xfId="0" applyFont="1" applyBorder="1"/>
    <xf numFmtId="0" fontId="6" fillId="0" borderId="0" xfId="0" applyFont="1" applyBorder="1"/>
    <xf numFmtId="8" fontId="6" fillId="0" borderId="6" xfId="0" applyNumberFormat="1" applyFont="1" applyBorder="1"/>
    <xf numFmtId="0" fontId="6" fillId="0" borderId="0" xfId="0" applyFont="1" applyAlignment="1">
      <alignment vertical="top"/>
    </xf>
    <xf numFmtId="0" fontId="5" fillId="0" borderId="0" xfId="0" applyFont="1" applyAlignment="1">
      <alignment vertical="top"/>
    </xf>
    <xf numFmtId="0" fontId="5" fillId="0" borderId="5" xfId="0" applyFont="1" applyBorder="1" applyAlignment="1">
      <alignment horizontal="center" vertical="top" wrapText="1"/>
    </xf>
    <xf numFmtId="0" fontId="5" fillId="0" borderId="0" xfId="0" applyFont="1" applyBorder="1" applyAlignment="1">
      <alignment horizontal="center" vertical="top" wrapText="1"/>
    </xf>
    <xf numFmtId="0" fontId="5" fillId="0" borderId="6" xfId="0" applyFont="1" applyBorder="1" applyAlignment="1">
      <alignment horizontal="center" vertical="top" wrapText="1"/>
    </xf>
    <xf numFmtId="0" fontId="6" fillId="0" borderId="8" xfId="0" quotePrefix="1" applyFont="1" applyBorder="1" applyAlignment="1">
      <alignment vertical="top"/>
    </xf>
    <xf numFmtId="0" fontId="6" fillId="0" borderId="8" xfId="0" applyFont="1" applyBorder="1" applyAlignment="1">
      <alignment vertical="top"/>
    </xf>
    <xf numFmtId="0" fontId="6" fillId="0" borderId="9" xfId="0" applyFont="1" applyBorder="1" applyAlignment="1">
      <alignment vertical="top"/>
    </xf>
    <xf numFmtId="0" fontId="6" fillId="0" borderId="1" xfId="0" quotePrefix="1" applyFont="1" applyBorder="1" applyAlignment="1">
      <alignment vertical="top"/>
    </xf>
    <xf numFmtId="0" fontId="6" fillId="0" borderId="1" xfId="0" applyFont="1" applyBorder="1" applyAlignment="1">
      <alignment vertical="top"/>
    </xf>
    <xf numFmtId="0" fontId="6" fillId="0" borderId="11" xfId="0" quotePrefix="1" applyFont="1" applyBorder="1" applyAlignment="1">
      <alignment vertical="top"/>
    </xf>
    <xf numFmtId="0" fontId="6" fillId="0" borderId="11" xfId="0" applyFont="1" applyBorder="1" applyAlignment="1">
      <alignment vertical="top"/>
    </xf>
    <xf numFmtId="0" fontId="6" fillId="0" borderId="5" xfId="0" applyFont="1" applyBorder="1" applyAlignment="1">
      <alignment vertical="top"/>
    </xf>
    <xf numFmtId="0" fontId="6" fillId="0" borderId="0" xfId="0" quotePrefix="1" applyFont="1" applyBorder="1" applyAlignment="1">
      <alignment vertical="top"/>
    </xf>
    <xf numFmtId="0" fontId="6" fillId="0" borderId="0" xfId="0" applyFont="1" applyBorder="1" applyAlignment="1">
      <alignment vertical="top"/>
    </xf>
    <xf numFmtId="0" fontId="6" fillId="0" borderId="12" xfId="0" applyFont="1" applyBorder="1" applyAlignment="1">
      <alignment vertical="top"/>
    </xf>
    <xf numFmtId="0" fontId="6" fillId="0" borderId="13" xfId="0" quotePrefix="1" applyFont="1" applyBorder="1" applyAlignment="1">
      <alignment vertical="top"/>
    </xf>
    <xf numFmtId="0" fontId="6" fillId="0" borderId="13" xfId="0" applyFont="1" applyBorder="1" applyAlignment="1">
      <alignment vertical="top"/>
    </xf>
    <xf numFmtId="0" fontId="6" fillId="0" borderId="3" xfId="0" applyFont="1" applyBorder="1" applyAlignment="1">
      <alignment vertical="top"/>
    </xf>
    <xf numFmtId="0" fontId="6" fillId="0" borderId="7" xfId="0" quotePrefix="1" applyFont="1" applyBorder="1" applyAlignment="1">
      <alignment vertical="top"/>
    </xf>
    <xf numFmtId="0" fontId="6" fillId="0" borderId="7" xfId="0" applyFont="1" applyBorder="1" applyAlignment="1">
      <alignment vertical="top"/>
    </xf>
    <xf numFmtId="0" fontId="6" fillId="0" borderId="9" xfId="0" quotePrefix="1" applyFont="1" applyBorder="1" applyAlignment="1">
      <alignment vertical="top"/>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6" fillId="0" borderId="14" xfId="0" applyFont="1" applyBorder="1" applyAlignment="1">
      <alignment vertical="top"/>
    </xf>
    <xf numFmtId="0" fontId="6" fillId="0" borderId="15" xfId="0" quotePrefix="1" applyFont="1" applyBorder="1" applyAlignment="1">
      <alignment vertical="top"/>
    </xf>
    <xf numFmtId="0" fontId="6" fillId="0" borderId="3" xfId="0" quotePrefix="1" applyFont="1" applyBorder="1" applyAlignment="1">
      <alignment vertical="top"/>
    </xf>
    <xf numFmtId="0" fontId="6" fillId="0" borderId="5" xfId="0" quotePrefix="1" applyFont="1" applyBorder="1" applyAlignment="1">
      <alignment vertical="top"/>
    </xf>
    <xf numFmtId="0" fontId="6" fillId="0" borderId="11" xfId="0" applyFont="1" applyBorder="1" applyAlignment="1">
      <alignment horizontal="left" vertical="top"/>
    </xf>
    <xf numFmtId="0" fontId="6" fillId="0" borderId="7" xfId="0" applyFont="1" applyBorder="1" applyAlignment="1">
      <alignment horizontal="left" vertical="top"/>
    </xf>
    <xf numFmtId="0" fontId="6" fillId="0" borderId="0" xfId="0" quotePrefix="1" applyFont="1" applyAlignment="1">
      <alignment horizontal="center" vertical="top"/>
    </xf>
    <xf numFmtId="0" fontId="6" fillId="0" borderId="0" xfId="0" applyFont="1" applyAlignment="1">
      <alignment horizontal="center"/>
    </xf>
    <xf numFmtId="0" fontId="6" fillId="0" borderId="11" xfId="0" applyFont="1" applyFill="1" applyBorder="1"/>
    <xf numFmtId="0" fontId="6" fillId="0" borderId="0" xfId="0" applyFont="1" applyBorder="1" applyAlignment="1">
      <alignment horizontal="center" textRotation="90" wrapText="1"/>
    </xf>
    <xf numFmtId="0" fontId="6" fillId="0" borderId="0" xfId="0" applyFont="1" applyBorder="1" applyAlignment="1">
      <alignment horizontal="left" textRotation="90"/>
    </xf>
    <xf numFmtId="43" fontId="6" fillId="0" borderId="0" xfId="1" applyFont="1"/>
    <xf numFmtId="6" fontId="6" fillId="0" borderId="2" xfId="0" applyNumberFormat="1" applyFont="1" applyFill="1" applyBorder="1"/>
    <xf numFmtId="0" fontId="6" fillId="0" borderId="8" xfId="0" applyFont="1" applyBorder="1"/>
    <xf numFmtId="0" fontId="6" fillId="0" borderId="9" xfId="0" applyFont="1" applyBorder="1"/>
    <xf numFmtId="164" fontId="6" fillId="0" borderId="0" xfId="0" applyNumberFormat="1" applyFont="1"/>
    <xf numFmtId="0" fontId="0" fillId="0" borderId="0" xfId="0" applyFill="1" applyAlignment="1">
      <alignment vertical="top"/>
    </xf>
    <xf numFmtId="164" fontId="0" fillId="0" borderId="0" xfId="1" applyNumberFormat="1" applyFont="1" applyFill="1" applyAlignment="1">
      <alignment vertical="top"/>
    </xf>
    <xf numFmtId="6" fontId="0" fillId="0" borderId="0" xfId="0" applyNumberFormat="1" applyFill="1" applyAlignment="1">
      <alignment horizontal="center" vertical="top"/>
    </xf>
    <xf numFmtId="6" fontId="0" fillId="0" borderId="0" xfId="0" applyNumberFormat="1" applyFill="1" applyAlignment="1">
      <alignment vertical="top"/>
    </xf>
    <xf numFmtId="0" fontId="0" fillId="0" borderId="0" xfId="0" applyFill="1" applyAlignment="1">
      <alignment horizontal="right" vertical="top"/>
    </xf>
    <xf numFmtId="0" fontId="0" fillId="0" borderId="16" xfId="0" applyFill="1" applyBorder="1" applyAlignment="1">
      <alignment vertical="top"/>
    </xf>
    <xf numFmtId="6" fontId="0" fillId="0" borderId="16" xfId="1" applyNumberFormat="1" applyFont="1" applyFill="1" applyBorder="1" applyAlignment="1">
      <alignment vertical="top"/>
    </xf>
    <xf numFmtId="164" fontId="0" fillId="0" borderId="16" xfId="1" applyNumberFormat="1" applyFont="1" applyFill="1" applyBorder="1" applyAlignment="1">
      <alignment vertical="top"/>
    </xf>
    <xf numFmtId="6" fontId="0" fillId="0" borderId="16" xfId="0" applyNumberFormat="1" applyFill="1" applyBorder="1" applyAlignment="1">
      <alignment horizontal="center" vertical="top"/>
    </xf>
    <xf numFmtId="43" fontId="0" fillId="0" borderId="16" xfId="1" applyFont="1" applyFill="1" applyBorder="1" applyAlignment="1">
      <alignment horizontal="right" vertical="top"/>
    </xf>
    <xf numFmtId="0" fontId="0" fillId="0" borderId="16" xfId="0" applyFill="1" applyBorder="1" applyAlignment="1">
      <alignment horizontal="right" vertical="top"/>
    </xf>
    <xf numFmtId="164" fontId="0" fillId="0" borderId="16" xfId="1" applyNumberFormat="1" applyFont="1" applyBorder="1" applyAlignment="1">
      <alignment vertical="top"/>
    </xf>
    <xf numFmtId="164" fontId="0" fillId="3" borderId="16" xfId="1" applyNumberFormat="1" applyFont="1" applyFill="1" applyBorder="1" applyAlignment="1">
      <alignment vertical="top"/>
    </xf>
    <xf numFmtId="43" fontId="0" fillId="0" borderId="16" xfId="0" applyNumberFormat="1" applyFill="1" applyBorder="1" applyAlignment="1">
      <alignment horizontal="right" vertical="top"/>
    </xf>
    <xf numFmtId="43" fontId="0" fillId="0" borderId="18" xfId="0" applyNumberFormat="1" applyFill="1" applyBorder="1" applyAlignment="1">
      <alignment vertical="top"/>
    </xf>
    <xf numFmtId="0" fontId="0" fillId="0" borderId="18" xfId="0" applyFill="1" applyBorder="1" applyAlignment="1">
      <alignment vertical="top"/>
    </xf>
    <xf numFmtId="0" fontId="3" fillId="0" borderId="18" xfId="2" applyFill="1" applyBorder="1"/>
    <xf numFmtId="8" fontId="0" fillId="0" borderId="18" xfId="0" applyNumberFormat="1" applyFill="1" applyBorder="1" applyAlignment="1">
      <alignment vertical="top"/>
    </xf>
    <xf numFmtId="0" fontId="0" fillId="0" borderId="20" xfId="0" applyFill="1" applyBorder="1" applyAlignment="1">
      <alignment vertical="top"/>
    </xf>
    <xf numFmtId="164" fontId="0" fillId="0" borderId="20" xfId="1" applyNumberFormat="1" applyFont="1" applyBorder="1" applyAlignment="1">
      <alignment vertical="top"/>
    </xf>
    <xf numFmtId="6" fontId="0" fillId="0" borderId="20" xfId="1" applyNumberFormat="1" applyFont="1" applyFill="1" applyBorder="1" applyAlignment="1">
      <alignment vertical="top"/>
    </xf>
    <xf numFmtId="164" fontId="0" fillId="0" borderId="20" xfId="1" applyNumberFormat="1" applyFont="1" applyFill="1" applyBorder="1" applyAlignment="1">
      <alignment vertical="top"/>
    </xf>
    <xf numFmtId="6" fontId="0" fillId="0" borderId="20" xfId="0" applyNumberFormat="1" applyFill="1" applyBorder="1" applyAlignment="1">
      <alignment horizontal="center" vertical="top"/>
    </xf>
    <xf numFmtId="0" fontId="0" fillId="0" borderId="20" xfId="0" applyFill="1" applyBorder="1" applyAlignment="1">
      <alignment horizontal="right" vertical="top"/>
    </xf>
    <xf numFmtId="0" fontId="0" fillId="0" borderId="21" xfId="0" applyFill="1" applyBorder="1" applyAlignment="1">
      <alignment vertical="top"/>
    </xf>
    <xf numFmtId="0" fontId="0" fillId="0" borderId="0" xfId="0" applyAlignment="1">
      <alignment horizontal="left" vertical="top" wrapText="1"/>
    </xf>
    <xf numFmtId="165" fontId="0" fillId="0" borderId="17" xfId="1" applyNumberFormat="1" applyFont="1" applyFill="1" applyBorder="1" applyAlignment="1">
      <alignment vertical="top"/>
    </xf>
    <xf numFmtId="0" fontId="0" fillId="0" borderId="0" xfId="0" applyAlignment="1">
      <alignment vertical="top" wrapText="1"/>
    </xf>
    <xf numFmtId="0" fontId="8" fillId="0" borderId="0" xfId="0" applyFont="1" applyAlignment="1">
      <alignment vertical="top"/>
    </xf>
    <xf numFmtId="0" fontId="8" fillId="0" borderId="0" xfId="0" applyFont="1" applyAlignment="1">
      <alignment vertical="top" wrapText="1"/>
    </xf>
    <xf numFmtId="9" fontId="6" fillId="0" borderId="42" xfId="0" applyNumberFormat="1" applyFont="1" applyBorder="1"/>
    <xf numFmtId="9" fontId="6" fillId="0" borderId="43" xfId="0" applyNumberFormat="1" applyFont="1" applyBorder="1"/>
    <xf numFmtId="9" fontId="6" fillId="0" borderId="44" xfId="0" applyNumberFormat="1" applyFont="1" applyBorder="1"/>
    <xf numFmtId="6" fontId="0" fillId="0" borderId="16" xfId="1" applyNumberFormat="1" applyFont="1" applyFill="1" applyBorder="1" applyAlignment="1">
      <alignment horizontal="center" vertical="top"/>
    </xf>
    <xf numFmtId="0" fontId="0" fillId="0" borderId="16" xfId="0" applyFill="1" applyBorder="1" applyAlignment="1">
      <alignment horizontal="center" vertical="top"/>
    </xf>
    <xf numFmtId="6" fontId="0" fillId="0" borderId="20" xfId="1" applyNumberFormat="1" applyFont="1" applyFill="1" applyBorder="1" applyAlignment="1">
      <alignment horizontal="center" vertical="top"/>
    </xf>
    <xf numFmtId="0" fontId="0" fillId="0" borderId="20" xfId="0" applyFill="1" applyBorder="1" applyAlignment="1">
      <alignment horizontal="center" vertical="top"/>
    </xf>
    <xf numFmtId="0" fontId="0" fillId="0" borderId="26" xfId="0" applyFill="1" applyBorder="1" applyAlignment="1">
      <alignment vertical="top"/>
    </xf>
    <xf numFmtId="164" fontId="0" fillId="3" borderId="26" xfId="1" applyNumberFormat="1" applyFont="1" applyFill="1" applyBorder="1" applyAlignment="1">
      <alignment vertical="top"/>
    </xf>
    <xf numFmtId="6" fontId="0" fillId="0" borderId="26" xfId="1" applyNumberFormat="1" applyFont="1" applyFill="1" applyBorder="1" applyAlignment="1">
      <alignment horizontal="center" vertical="top"/>
    </xf>
    <xf numFmtId="0" fontId="0" fillId="0" borderId="26" xfId="0" applyFill="1" applyBorder="1" applyAlignment="1">
      <alignment horizontal="center" vertical="top"/>
    </xf>
    <xf numFmtId="164" fontId="0" fillId="0" borderId="26" xfId="1" applyNumberFormat="1" applyFont="1" applyFill="1" applyBorder="1" applyAlignment="1">
      <alignment vertical="top"/>
    </xf>
    <xf numFmtId="6" fontId="0" fillId="0" borderId="26" xfId="0" applyNumberFormat="1" applyFill="1" applyBorder="1" applyAlignment="1">
      <alignment horizontal="center" vertical="top"/>
    </xf>
    <xf numFmtId="0" fontId="0" fillId="0" borderId="26" xfId="0" applyFill="1" applyBorder="1" applyAlignment="1">
      <alignment horizontal="right" vertical="top"/>
    </xf>
    <xf numFmtId="0" fontId="0" fillId="0" borderId="27" xfId="0" applyFill="1" applyBorder="1" applyAlignment="1">
      <alignment vertical="top"/>
    </xf>
    <xf numFmtId="164" fontId="0" fillId="0" borderId="26" xfId="1" applyNumberFormat="1" applyFont="1" applyBorder="1" applyAlignment="1">
      <alignment vertical="top"/>
    </xf>
    <xf numFmtId="0" fontId="0" fillId="0" borderId="38" xfId="0" applyFill="1" applyBorder="1" applyAlignment="1">
      <alignment vertical="top"/>
    </xf>
    <xf numFmtId="0" fontId="0" fillId="0" borderId="38" xfId="0" applyFill="1" applyBorder="1" applyAlignment="1">
      <alignment horizontal="center" vertical="top"/>
    </xf>
    <xf numFmtId="164" fontId="0" fillId="0" borderId="38" xfId="1" applyNumberFormat="1" applyFont="1" applyFill="1" applyBorder="1" applyAlignment="1">
      <alignment vertical="top"/>
    </xf>
    <xf numFmtId="6" fontId="0" fillId="0" borderId="38" xfId="0" applyNumberFormat="1" applyFill="1" applyBorder="1" applyAlignment="1">
      <alignment horizontal="center" vertical="top"/>
    </xf>
    <xf numFmtId="0" fontId="0" fillId="0" borderId="38" xfId="0" applyFill="1" applyBorder="1" applyAlignment="1">
      <alignment horizontal="right" vertical="top"/>
    </xf>
    <xf numFmtId="0" fontId="0" fillId="0" borderId="39" xfId="0" applyFill="1" applyBorder="1" applyAlignment="1">
      <alignment vertical="top"/>
    </xf>
    <xf numFmtId="6" fontId="0" fillId="0" borderId="26" xfId="1" applyNumberFormat="1" applyFont="1" applyFill="1" applyBorder="1" applyAlignment="1">
      <alignment vertical="top"/>
    </xf>
    <xf numFmtId="165" fontId="0" fillId="0" borderId="25" xfId="1" applyNumberFormat="1" applyFont="1" applyFill="1" applyBorder="1" applyAlignment="1">
      <alignment vertical="top"/>
    </xf>
    <xf numFmtId="165" fontId="0" fillId="0" borderId="19" xfId="1" applyNumberFormat="1" applyFont="1" applyFill="1" applyBorder="1" applyAlignment="1">
      <alignment vertical="top"/>
    </xf>
    <xf numFmtId="165" fontId="0" fillId="0" borderId="37" xfId="1" applyNumberFormat="1" applyFont="1" applyFill="1" applyBorder="1" applyAlignment="1">
      <alignment vertical="top"/>
    </xf>
    <xf numFmtId="165" fontId="0" fillId="0" borderId="0" xfId="1" applyNumberFormat="1" applyFont="1" applyFill="1" applyAlignment="1">
      <alignment vertical="top"/>
    </xf>
    <xf numFmtId="165" fontId="2" fillId="0" borderId="28" xfId="1" applyNumberFormat="1" applyFont="1" applyFill="1" applyBorder="1" applyAlignment="1">
      <alignment horizontal="center" vertical="top" wrapText="1"/>
    </xf>
    <xf numFmtId="0" fontId="2" fillId="0" borderId="29" xfId="0" applyFont="1" applyFill="1" applyBorder="1" applyAlignment="1">
      <alignment horizontal="center" vertical="top" wrapText="1"/>
    </xf>
    <xf numFmtId="164" fontId="2" fillId="0" borderId="29" xfId="1" applyNumberFormat="1" applyFont="1" applyBorder="1" applyAlignment="1">
      <alignment horizontal="center" vertical="top" wrapText="1"/>
    </xf>
    <xf numFmtId="6" fontId="2" fillId="0" borderId="29" xfId="0" applyNumberFormat="1" applyFont="1" applyFill="1" applyBorder="1" applyAlignment="1">
      <alignment horizontal="center" vertical="top" wrapText="1"/>
    </xf>
    <xf numFmtId="164" fontId="2" fillId="0" borderId="29" xfId="1" applyNumberFormat="1" applyFont="1" applyFill="1" applyBorder="1" applyAlignment="1">
      <alignment horizontal="center" vertical="top" wrapText="1"/>
    </xf>
    <xf numFmtId="0" fontId="2" fillId="0" borderId="30" xfId="0" applyFont="1" applyFill="1" applyBorder="1" applyAlignment="1">
      <alignment horizontal="center" vertical="top" wrapText="1"/>
    </xf>
    <xf numFmtId="164" fontId="0" fillId="2" borderId="26" xfId="1" applyNumberFormat="1" applyFont="1" applyFill="1" applyBorder="1" applyAlignment="1" applyProtection="1">
      <alignment vertical="top"/>
      <protection locked="0"/>
    </xf>
    <xf numFmtId="164" fontId="0" fillId="2" borderId="16" xfId="1" applyNumberFormat="1" applyFont="1" applyFill="1" applyBorder="1" applyAlignment="1" applyProtection="1">
      <alignment vertical="top"/>
      <protection locked="0"/>
    </xf>
    <xf numFmtId="164" fontId="0" fillId="3" borderId="16" xfId="1" applyNumberFormat="1" applyFont="1" applyFill="1" applyBorder="1" applyAlignment="1" applyProtection="1">
      <alignment vertical="top"/>
      <protection locked="0"/>
    </xf>
    <xf numFmtId="164" fontId="0" fillId="2" borderId="20" xfId="1" applyNumberFormat="1" applyFont="1" applyFill="1" applyBorder="1" applyAlignment="1" applyProtection="1">
      <alignment vertical="top"/>
      <protection locked="0"/>
    </xf>
    <xf numFmtId="164" fontId="0" fillId="3" borderId="26" xfId="1" applyNumberFormat="1" applyFont="1" applyFill="1" applyBorder="1" applyAlignment="1" applyProtection="1">
      <alignment vertical="top"/>
      <protection locked="0"/>
    </xf>
    <xf numFmtId="0" fontId="0" fillId="2" borderId="26" xfId="0" applyFill="1" applyBorder="1" applyAlignment="1" applyProtection="1">
      <alignment vertical="top"/>
      <protection locked="0"/>
    </xf>
    <xf numFmtId="0" fontId="0" fillId="2" borderId="16" xfId="0" applyFill="1" applyBorder="1" applyAlignment="1" applyProtection="1">
      <alignment vertical="top"/>
      <protection locked="0"/>
    </xf>
    <xf numFmtId="0" fontId="0" fillId="0" borderId="16" xfId="0" applyFill="1" applyBorder="1" applyAlignment="1" applyProtection="1">
      <alignment vertical="top"/>
      <protection locked="0"/>
    </xf>
    <xf numFmtId="0" fontId="0" fillId="0" borderId="26" xfId="0" applyFill="1" applyBorder="1" applyAlignment="1" applyProtection="1">
      <alignment vertical="top"/>
      <protection locked="0"/>
    </xf>
    <xf numFmtId="43" fontId="0" fillId="0" borderId="27" xfId="0" applyNumberFormat="1" applyFill="1" applyBorder="1" applyAlignment="1">
      <alignment vertical="top"/>
    </xf>
    <xf numFmtId="0" fontId="0" fillId="4" borderId="16" xfId="0" applyFill="1" applyBorder="1" applyAlignment="1" applyProtection="1">
      <alignment vertical="top"/>
    </xf>
    <xf numFmtId="0" fontId="0" fillId="2" borderId="20" xfId="0" applyFill="1" applyBorder="1" applyAlignment="1" applyProtection="1">
      <alignment vertical="top"/>
      <protection locked="0"/>
    </xf>
    <xf numFmtId="6" fontId="6" fillId="2" borderId="10" xfId="0" applyNumberFormat="1" applyFont="1" applyFill="1" applyBorder="1" applyProtection="1">
      <protection locked="0"/>
    </xf>
    <xf numFmtId="9" fontId="6" fillId="2" borderId="40" xfId="3" applyFont="1" applyFill="1" applyBorder="1" applyProtection="1">
      <protection locked="0"/>
    </xf>
    <xf numFmtId="0" fontId="6" fillId="2" borderId="41" xfId="0" applyFont="1" applyFill="1" applyBorder="1" applyAlignment="1" applyProtection="1">
      <alignment horizontal="center"/>
      <protection locked="0"/>
    </xf>
    <xf numFmtId="0" fontId="6" fillId="2" borderId="16" xfId="0" applyFont="1" applyFill="1" applyBorder="1" applyAlignment="1" applyProtection="1">
      <alignment horizontal="center"/>
      <protection locked="0"/>
    </xf>
    <xf numFmtId="9" fontId="6" fillId="2" borderId="41" xfId="0" applyNumberFormat="1" applyFont="1" applyFill="1" applyBorder="1" applyAlignment="1" applyProtection="1">
      <alignment horizontal="center"/>
      <protection locked="0"/>
    </xf>
    <xf numFmtId="164" fontId="0" fillId="2" borderId="38" xfId="1" applyNumberFormat="1" applyFont="1" applyFill="1" applyBorder="1" applyAlignment="1" applyProtection="1">
      <alignment vertical="top"/>
      <protection locked="0"/>
    </xf>
    <xf numFmtId="6" fontId="0" fillId="0" borderId="38" xfId="1" applyNumberFormat="1" applyFont="1" applyFill="1" applyBorder="1" applyAlignment="1">
      <alignment vertical="top"/>
    </xf>
    <xf numFmtId="0" fontId="11" fillId="0" borderId="5" xfId="0" applyFont="1" applyBorder="1" applyAlignment="1">
      <alignment vertical="top"/>
    </xf>
    <xf numFmtId="0" fontId="11" fillId="0" borderId="0" xfId="0" quotePrefix="1" applyFont="1" applyBorder="1" applyAlignment="1">
      <alignment vertical="top"/>
    </xf>
    <xf numFmtId="0" fontId="9" fillId="0" borderId="0" xfId="0" applyFont="1" applyAlignment="1">
      <alignment vertical="top"/>
    </xf>
    <xf numFmtId="0" fontId="4" fillId="0" borderId="13" xfId="0" applyFont="1" applyBorder="1" applyAlignment="1">
      <alignment horizontal="left" vertical="top"/>
    </xf>
    <xf numFmtId="6" fontId="12" fillId="2" borderId="26" xfId="3" applyNumberFormat="1" applyFont="1" applyFill="1" applyBorder="1" applyAlignment="1" applyProtection="1">
      <alignment horizontal="right" vertical="top"/>
      <protection locked="0"/>
    </xf>
    <xf numFmtId="6" fontId="12" fillId="2" borderId="27" xfId="3" applyNumberFormat="1" applyFont="1" applyFill="1" applyBorder="1" applyAlignment="1" applyProtection="1">
      <alignment horizontal="right" vertical="top"/>
      <protection locked="0"/>
    </xf>
    <xf numFmtId="6" fontId="12" fillId="2" borderId="25" xfId="3" applyNumberFormat="1" applyFont="1" applyFill="1" applyBorder="1" applyAlignment="1" applyProtection="1">
      <alignment horizontal="right" vertical="top"/>
      <protection locked="0"/>
    </xf>
    <xf numFmtId="6" fontId="12" fillId="2" borderId="16" xfId="3" applyNumberFormat="1" applyFont="1" applyFill="1" applyBorder="1" applyAlignment="1" applyProtection="1">
      <alignment horizontal="right" vertical="top"/>
      <protection locked="0"/>
    </xf>
    <xf numFmtId="6" fontId="12" fillId="2" borderId="18" xfId="3" applyNumberFormat="1" applyFont="1" applyFill="1" applyBorder="1" applyAlignment="1" applyProtection="1">
      <alignment horizontal="right" vertical="top"/>
      <protection locked="0"/>
    </xf>
    <xf numFmtId="6" fontId="12" fillId="2" borderId="17" xfId="3" applyNumberFormat="1" applyFont="1" applyFill="1" applyBorder="1" applyAlignment="1" applyProtection="1">
      <alignment horizontal="right" vertical="top"/>
      <protection locked="0"/>
    </xf>
    <xf numFmtId="6" fontId="12" fillId="2" borderId="38" xfId="3" applyNumberFormat="1" applyFont="1" applyFill="1" applyBorder="1" applyAlignment="1" applyProtection="1">
      <alignment horizontal="right" vertical="top"/>
      <protection locked="0"/>
    </xf>
    <xf numFmtId="6" fontId="12" fillId="2" borderId="39" xfId="3" applyNumberFormat="1" applyFont="1" applyFill="1" applyBorder="1" applyAlignment="1" applyProtection="1">
      <alignment horizontal="right" vertical="top"/>
      <protection locked="0"/>
    </xf>
    <xf numFmtId="6" fontId="12" fillId="2" borderId="37" xfId="3" applyNumberFormat="1" applyFont="1" applyFill="1" applyBorder="1" applyAlignment="1" applyProtection="1">
      <alignment horizontal="right" vertical="top"/>
      <protection locked="0"/>
    </xf>
    <xf numFmtId="0" fontId="12" fillId="2" borderId="20" xfId="0" applyFont="1" applyFill="1" applyBorder="1" applyAlignment="1" applyProtection="1">
      <alignment horizontal="right" vertical="top"/>
      <protection locked="0"/>
    </xf>
    <xf numFmtId="0" fontId="12" fillId="2" borderId="21" xfId="0" applyFont="1" applyFill="1" applyBorder="1" applyAlignment="1" applyProtection="1">
      <alignment horizontal="right" vertical="top"/>
      <protection locked="0"/>
    </xf>
    <xf numFmtId="0" fontId="12" fillId="2" borderId="19" xfId="0" applyFont="1" applyFill="1" applyBorder="1" applyAlignment="1" applyProtection="1">
      <alignment horizontal="right" vertical="top"/>
      <protection locked="0"/>
    </xf>
    <xf numFmtId="0" fontId="12" fillId="2" borderId="26" xfId="0" applyFont="1" applyFill="1" applyBorder="1" applyAlignment="1" applyProtection="1">
      <alignment horizontal="right" vertical="top"/>
      <protection locked="0"/>
    </xf>
    <xf numFmtId="0" fontId="12" fillId="2" borderId="27" xfId="0" applyFont="1" applyFill="1" applyBorder="1" applyAlignment="1" applyProtection="1">
      <alignment horizontal="right" vertical="top"/>
      <protection locked="0"/>
    </xf>
    <xf numFmtId="0" fontId="12" fillId="2" borderId="25" xfId="0" applyFont="1" applyFill="1" applyBorder="1" applyAlignment="1" applyProtection="1">
      <alignment horizontal="right" vertical="top"/>
      <protection locked="0"/>
    </xf>
    <xf numFmtId="8" fontId="12" fillId="2" borderId="16" xfId="0" applyNumberFormat="1" applyFont="1" applyFill="1" applyBorder="1" applyAlignment="1" applyProtection="1">
      <alignment horizontal="right" vertical="top"/>
      <protection locked="0"/>
    </xf>
    <xf numFmtId="8" fontId="12" fillId="2" borderId="18" xfId="0" applyNumberFormat="1" applyFont="1" applyFill="1" applyBorder="1" applyAlignment="1" applyProtection="1">
      <alignment horizontal="right" vertical="top"/>
      <protection locked="0"/>
    </xf>
    <xf numFmtId="8" fontId="12" fillId="2" borderId="17" xfId="0" applyNumberFormat="1" applyFont="1" applyFill="1" applyBorder="1" applyAlignment="1" applyProtection="1">
      <alignment horizontal="right" vertical="top"/>
      <protection locked="0"/>
    </xf>
    <xf numFmtId="8" fontId="12" fillId="2" borderId="23" xfId="0" applyNumberFormat="1" applyFont="1" applyFill="1" applyBorder="1" applyAlignment="1" applyProtection="1">
      <alignment horizontal="right" vertical="top"/>
      <protection locked="0"/>
    </xf>
    <xf numFmtId="8" fontId="12" fillId="2" borderId="24" xfId="0" applyNumberFormat="1" applyFont="1" applyFill="1" applyBorder="1" applyAlignment="1" applyProtection="1">
      <alignment horizontal="right" vertical="top"/>
      <protection locked="0"/>
    </xf>
    <xf numFmtId="8" fontId="12" fillId="2" borderId="22" xfId="0" applyNumberFormat="1" applyFont="1" applyFill="1" applyBorder="1" applyAlignment="1" applyProtection="1">
      <alignment horizontal="right" vertical="top"/>
      <protection locked="0"/>
    </xf>
    <xf numFmtId="40" fontId="12" fillId="2" borderId="26" xfId="0" applyNumberFormat="1" applyFont="1" applyFill="1" applyBorder="1" applyAlignment="1" applyProtection="1">
      <alignment horizontal="right" vertical="top"/>
      <protection locked="0"/>
    </xf>
    <xf numFmtId="40" fontId="12" fillId="2" borderId="27" xfId="0" applyNumberFormat="1" applyFont="1" applyFill="1" applyBorder="1" applyAlignment="1" applyProtection="1">
      <alignment horizontal="right" vertical="top"/>
      <protection locked="0"/>
    </xf>
    <xf numFmtId="6" fontId="12" fillId="2" borderId="19" xfId="0" applyNumberFormat="1" applyFont="1" applyFill="1" applyBorder="1" applyAlignment="1" applyProtection="1">
      <alignment horizontal="right" vertical="top"/>
      <protection locked="0"/>
    </xf>
    <xf numFmtId="6" fontId="12" fillId="2" borderId="21" xfId="0" applyNumberFormat="1" applyFont="1" applyFill="1" applyBorder="1" applyAlignment="1" applyProtection="1">
      <alignment horizontal="right" vertical="top"/>
      <protection locked="0"/>
    </xf>
    <xf numFmtId="6" fontId="12" fillId="2" borderId="38" xfId="0" applyNumberFormat="1" applyFont="1" applyFill="1" applyBorder="1" applyAlignment="1" applyProtection="1">
      <alignment horizontal="right" vertical="top"/>
      <protection locked="0"/>
    </xf>
    <xf numFmtId="6" fontId="12" fillId="2" borderId="39" xfId="0" applyNumberFormat="1" applyFont="1" applyFill="1" applyBorder="1" applyAlignment="1" applyProtection="1">
      <alignment horizontal="right" vertical="top"/>
      <protection locked="0"/>
    </xf>
    <xf numFmtId="6" fontId="12" fillId="2" borderId="37" xfId="0" applyNumberFormat="1" applyFont="1" applyFill="1" applyBorder="1" applyAlignment="1" applyProtection="1">
      <alignment horizontal="right" vertical="top"/>
      <protection locked="0"/>
    </xf>
    <xf numFmtId="0" fontId="12" fillId="2" borderId="26" xfId="0" applyFont="1" applyFill="1" applyBorder="1" applyAlignment="1" applyProtection="1">
      <alignment horizontal="center" vertical="top"/>
      <protection locked="0"/>
    </xf>
    <xf numFmtId="0" fontId="12" fillId="2" borderId="27" xfId="0" applyFont="1" applyFill="1" applyBorder="1" applyAlignment="1" applyProtection="1">
      <alignment horizontal="center" vertical="top"/>
      <protection locked="0"/>
    </xf>
    <xf numFmtId="0" fontId="12" fillId="2" borderId="25" xfId="0" applyFont="1" applyFill="1" applyBorder="1" applyAlignment="1" applyProtection="1">
      <alignment horizontal="center" vertical="top"/>
      <protection locked="0"/>
    </xf>
    <xf numFmtId="6" fontId="12" fillId="2" borderId="16" xfId="0" applyNumberFormat="1" applyFont="1" applyFill="1" applyBorder="1" applyAlignment="1" applyProtection="1">
      <alignment horizontal="right" vertical="top"/>
      <protection locked="0"/>
    </xf>
    <xf numFmtId="6" fontId="12" fillId="2" borderId="18" xfId="0" applyNumberFormat="1" applyFont="1" applyFill="1" applyBorder="1" applyAlignment="1" applyProtection="1">
      <alignment horizontal="right" vertical="top"/>
      <protection locked="0"/>
    </xf>
    <xf numFmtId="6" fontId="12" fillId="2" borderId="17" xfId="0" applyNumberFormat="1" applyFont="1" applyFill="1" applyBorder="1" applyAlignment="1" applyProtection="1">
      <alignment horizontal="right" vertical="top"/>
      <protection locked="0"/>
    </xf>
    <xf numFmtId="6" fontId="12" fillId="2" borderId="23" xfId="0" applyNumberFormat="1" applyFont="1" applyFill="1" applyBorder="1" applyAlignment="1" applyProtection="1">
      <alignment horizontal="right" vertical="top"/>
      <protection locked="0"/>
    </xf>
    <xf numFmtId="6" fontId="12" fillId="2" borderId="24" xfId="0" applyNumberFormat="1" applyFont="1" applyFill="1" applyBorder="1" applyAlignment="1" applyProtection="1">
      <alignment horizontal="right" vertical="top"/>
      <protection locked="0"/>
    </xf>
    <xf numFmtId="6" fontId="12" fillId="2" borderId="22" xfId="0" applyNumberFormat="1" applyFont="1" applyFill="1" applyBorder="1" applyAlignment="1" applyProtection="1">
      <alignment horizontal="right" vertical="top"/>
      <protection locked="0"/>
    </xf>
    <xf numFmtId="6" fontId="12" fillId="2" borderId="35" xfId="0" applyNumberFormat="1" applyFont="1" applyFill="1" applyBorder="1" applyAlignment="1" applyProtection="1">
      <alignment horizontal="right" vertical="top"/>
      <protection locked="0"/>
    </xf>
    <xf numFmtId="6" fontId="12" fillId="2" borderId="36" xfId="0" applyNumberFormat="1" applyFont="1" applyFill="1" applyBorder="1" applyAlignment="1" applyProtection="1">
      <alignment horizontal="right" vertical="top"/>
      <protection locked="0"/>
    </xf>
    <xf numFmtId="6" fontId="12" fillId="2" borderId="34" xfId="0" applyNumberFormat="1" applyFont="1" applyFill="1" applyBorder="1" applyAlignment="1" applyProtection="1">
      <alignment horizontal="right" vertical="top"/>
      <protection locked="0"/>
    </xf>
    <xf numFmtId="8" fontId="12" fillId="2" borderId="20" xfId="0" applyNumberFormat="1" applyFont="1" applyFill="1" applyBorder="1" applyAlignment="1" applyProtection="1">
      <alignment horizontal="right" vertical="top"/>
      <protection locked="0"/>
    </xf>
    <xf numFmtId="8" fontId="12" fillId="2" borderId="21" xfId="0" applyNumberFormat="1" applyFont="1" applyFill="1" applyBorder="1" applyAlignment="1" applyProtection="1">
      <alignment horizontal="right" vertical="top"/>
      <protection locked="0"/>
    </xf>
    <xf numFmtId="8" fontId="12" fillId="2" borderId="19" xfId="0" applyNumberFormat="1" applyFont="1" applyFill="1" applyBorder="1" applyAlignment="1" applyProtection="1">
      <alignment horizontal="right" vertical="top"/>
      <protection locked="0"/>
    </xf>
    <xf numFmtId="8" fontId="12" fillId="2" borderId="26" xfId="0" applyNumberFormat="1" applyFont="1" applyFill="1" applyBorder="1" applyAlignment="1" applyProtection="1">
      <alignment horizontal="right" vertical="top"/>
      <protection locked="0"/>
    </xf>
    <xf numFmtId="8" fontId="12" fillId="2" borderId="27" xfId="0" applyNumberFormat="1" applyFont="1" applyFill="1" applyBorder="1" applyAlignment="1" applyProtection="1">
      <alignment horizontal="right" vertical="top"/>
      <protection locked="0"/>
    </xf>
    <xf numFmtId="8" fontId="12" fillId="2" borderId="25" xfId="0" applyNumberFormat="1" applyFont="1" applyFill="1" applyBorder="1" applyAlignment="1" applyProtection="1">
      <alignment horizontal="right" vertical="top"/>
      <protection locked="0"/>
    </xf>
    <xf numFmtId="8" fontId="12" fillId="2" borderId="38" xfId="0" applyNumberFormat="1" applyFont="1" applyFill="1" applyBorder="1" applyAlignment="1" applyProtection="1">
      <alignment horizontal="right" vertical="top"/>
      <protection locked="0"/>
    </xf>
    <xf numFmtId="8" fontId="12" fillId="2" borderId="39" xfId="0" applyNumberFormat="1" applyFont="1" applyFill="1" applyBorder="1" applyAlignment="1" applyProtection="1">
      <alignment horizontal="right" vertical="top"/>
      <protection locked="0"/>
    </xf>
    <xf numFmtId="8" fontId="12" fillId="2" borderId="37" xfId="0" applyNumberFormat="1" applyFont="1" applyFill="1" applyBorder="1" applyAlignment="1" applyProtection="1">
      <alignment horizontal="right" vertical="top"/>
      <protection locked="0"/>
    </xf>
    <xf numFmtId="0" fontId="12" fillId="2" borderId="38" xfId="0" applyFont="1" applyFill="1" applyBorder="1" applyAlignment="1" applyProtection="1">
      <alignment horizontal="right" vertical="top"/>
      <protection locked="0"/>
    </xf>
    <xf numFmtId="0" fontId="12" fillId="2" borderId="39" xfId="0" applyFont="1" applyFill="1" applyBorder="1" applyAlignment="1" applyProtection="1">
      <alignment horizontal="right" vertical="top"/>
      <protection locked="0"/>
    </xf>
    <xf numFmtId="0" fontId="12" fillId="2" borderId="37" xfId="0" applyFont="1" applyFill="1" applyBorder="1" applyAlignment="1" applyProtection="1">
      <alignment horizontal="right" vertical="top"/>
      <protection locked="0"/>
    </xf>
    <xf numFmtId="6" fontId="12" fillId="2" borderId="29" xfId="0" applyNumberFormat="1" applyFont="1" applyFill="1" applyBorder="1" applyAlignment="1" applyProtection="1">
      <alignment horizontal="right" vertical="top"/>
      <protection locked="0"/>
    </xf>
    <xf numFmtId="6" fontId="12" fillId="2" borderId="30" xfId="0" applyNumberFormat="1" applyFont="1" applyFill="1" applyBorder="1" applyAlignment="1" applyProtection="1">
      <alignment horizontal="right" vertical="top"/>
      <protection locked="0"/>
    </xf>
    <xf numFmtId="6" fontId="12" fillId="2" borderId="28" xfId="0" applyNumberFormat="1" applyFont="1" applyFill="1" applyBorder="1" applyAlignment="1" applyProtection="1">
      <alignment horizontal="right" vertical="top"/>
      <protection locked="0"/>
    </xf>
    <xf numFmtId="6" fontId="12" fillId="2" borderId="32" xfId="0" applyNumberFormat="1" applyFont="1" applyFill="1" applyBorder="1" applyAlignment="1" applyProtection="1">
      <alignment horizontal="right" vertical="top"/>
      <protection locked="0"/>
    </xf>
    <xf numFmtId="6" fontId="12" fillId="2" borderId="33" xfId="0" applyNumberFormat="1" applyFont="1" applyFill="1" applyBorder="1" applyAlignment="1" applyProtection="1">
      <alignment horizontal="right" vertical="top"/>
      <protection locked="0"/>
    </xf>
    <xf numFmtId="6" fontId="12" fillId="2" borderId="31" xfId="0" applyNumberFormat="1" applyFont="1" applyFill="1" applyBorder="1" applyAlignment="1" applyProtection="1">
      <alignment horizontal="right" vertical="top"/>
      <protection locked="0"/>
    </xf>
    <xf numFmtId="6" fontId="12" fillId="2" borderId="25" xfId="1" applyNumberFormat="1" applyFont="1" applyFill="1" applyBorder="1" applyAlignment="1" applyProtection="1">
      <alignment horizontal="right" vertical="top"/>
      <protection locked="0"/>
    </xf>
    <xf numFmtId="6" fontId="12" fillId="2" borderId="26" xfId="1" applyNumberFormat="1" applyFont="1" applyFill="1" applyBorder="1" applyAlignment="1" applyProtection="1">
      <alignment horizontal="right" vertical="top"/>
      <protection locked="0"/>
    </xf>
    <xf numFmtId="40" fontId="12" fillId="2" borderId="25" xfId="0" applyNumberFormat="1" applyFont="1" applyFill="1" applyBorder="1" applyAlignment="1" applyProtection="1">
      <alignment horizontal="right" vertical="top"/>
      <protection locked="0"/>
    </xf>
    <xf numFmtId="6" fontId="12" fillId="2" borderId="48" xfId="3" applyNumberFormat="1" applyFont="1" applyFill="1" applyBorder="1" applyAlignment="1" applyProtection="1">
      <alignment horizontal="right" vertical="top"/>
      <protection locked="0"/>
    </xf>
    <xf numFmtId="6" fontId="12" fillId="2" borderId="49" xfId="3" applyNumberFormat="1" applyFont="1" applyFill="1" applyBorder="1" applyAlignment="1" applyProtection="1">
      <alignment horizontal="right" vertical="top"/>
      <protection locked="0"/>
    </xf>
    <xf numFmtId="6" fontId="12" fillId="2" borderId="50" xfId="3" applyNumberFormat="1" applyFont="1" applyFill="1" applyBorder="1" applyAlignment="1" applyProtection="1">
      <alignment horizontal="right" vertical="top"/>
      <protection locked="0"/>
    </xf>
    <xf numFmtId="6" fontId="11" fillId="2" borderId="45" xfId="3" applyNumberFormat="1" applyFont="1" applyFill="1" applyBorder="1" applyAlignment="1" applyProtection="1">
      <alignment horizontal="right" vertical="top"/>
      <protection locked="0"/>
    </xf>
    <xf numFmtId="6" fontId="11" fillId="2" borderId="46" xfId="3" applyNumberFormat="1" applyFont="1" applyFill="1" applyBorder="1" applyAlignment="1" applyProtection="1">
      <alignment horizontal="right" vertical="top"/>
      <protection locked="0"/>
    </xf>
    <xf numFmtId="9" fontId="11" fillId="2" borderId="34" xfId="3" applyFont="1" applyFill="1" applyBorder="1" applyAlignment="1" applyProtection="1">
      <alignment horizontal="center" vertical="top"/>
      <protection locked="0"/>
    </xf>
    <xf numFmtId="9" fontId="11" fillId="2" borderId="35" xfId="3" applyFont="1" applyFill="1" applyBorder="1" applyAlignment="1" applyProtection="1">
      <alignment horizontal="center" vertical="top"/>
      <protection locked="0"/>
    </xf>
    <xf numFmtId="9" fontId="11" fillId="2" borderId="36" xfId="3" applyFont="1" applyFill="1" applyBorder="1" applyAlignment="1" applyProtection="1">
      <alignment horizontal="center" vertical="top"/>
      <protection locked="0"/>
    </xf>
    <xf numFmtId="6" fontId="11" fillId="2" borderId="31" xfId="0" applyNumberFormat="1" applyFont="1" applyFill="1" applyBorder="1" applyAlignment="1" applyProtection="1">
      <alignment horizontal="right" vertical="top"/>
      <protection locked="0"/>
    </xf>
    <xf numFmtId="6" fontId="11" fillId="2" borderId="32" xfId="0" applyNumberFormat="1" applyFont="1" applyFill="1" applyBorder="1" applyAlignment="1" applyProtection="1">
      <alignment horizontal="right" vertical="top"/>
      <protection locked="0"/>
    </xf>
    <xf numFmtId="6" fontId="11" fillId="2" borderId="33" xfId="0" applyNumberFormat="1" applyFont="1" applyFill="1" applyBorder="1" applyAlignment="1" applyProtection="1">
      <alignment horizontal="right" vertical="top"/>
      <protection locked="0"/>
    </xf>
    <xf numFmtId="6" fontId="12" fillId="2" borderId="48" xfId="0" applyNumberFormat="1" applyFont="1" applyFill="1" applyBorder="1" applyAlignment="1" applyProtection="1">
      <alignment horizontal="right" vertical="top"/>
      <protection locked="0"/>
    </xf>
    <xf numFmtId="6" fontId="12" fillId="2" borderId="49" xfId="0" applyNumberFormat="1" applyFont="1" applyFill="1" applyBorder="1" applyAlignment="1" applyProtection="1">
      <alignment horizontal="right" vertical="top"/>
      <protection locked="0"/>
    </xf>
    <xf numFmtId="6" fontId="12" fillId="2" borderId="50" xfId="0" applyNumberFormat="1" applyFont="1" applyFill="1" applyBorder="1" applyAlignment="1" applyProtection="1">
      <alignment horizontal="right" vertical="top"/>
      <protection locked="0"/>
    </xf>
    <xf numFmtId="6" fontId="11" fillId="2" borderId="47" xfId="3" applyNumberFormat="1" applyFont="1" applyFill="1" applyBorder="1" applyAlignment="1" applyProtection="1">
      <alignment horizontal="right" vertical="top"/>
      <protection locked="0"/>
    </xf>
    <xf numFmtId="6" fontId="0" fillId="0" borderId="0" xfId="0" applyNumberFormat="1" applyAlignment="1">
      <alignment vertical="top"/>
    </xf>
    <xf numFmtId="166" fontId="0" fillId="0" borderId="0" xfId="3" applyNumberFormat="1" applyFont="1" applyAlignment="1">
      <alignment vertical="top"/>
    </xf>
    <xf numFmtId="6" fontId="4" fillId="0" borderId="34" xfId="3" applyNumberFormat="1" applyFont="1" applyFill="1" applyBorder="1" applyAlignment="1" applyProtection="1">
      <alignment horizontal="right" vertical="top"/>
      <protection locked="0"/>
    </xf>
    <xf numFmtId="6" fontId="4" fillId="0" borderId="35" xfId="3" applyNumberFormat="1" applyFont="1" applyFill="1" applyBorder="1" applyAlignment="1" applyProtection="1">
      <alignment horizontal="right" vertical="top"/>
      <protection locked="0"/>
    </xf>
    <xf numFmtId="6" fontId="4" fillId="0" borderId="36" xfId="3" applyNumberFormat="1" applyFont="1" applyFill="1" applyBorder="1" applyAlignment="1" applyProtection="1">
      <alignment horizontal="right" vertical="top"/>
      <protection locked="0"/>
    </xf>
    <xf numFmtId="43" fontId="0" fillId="0" borderId="0" xfId="0" applyNumberFormat="1" applyAlignment="1">
      <alignment vertical="top"/>
    </xf>
    <xf numFmtId="6" fontId="6" fillId="0" borderId="2" xfId="1" applyNumberFormat="1" applyFont="1" applyBorder="1"/>
    <xf numFmtId="6" fontId="6" fillId="0" borderId="6" xfId="1" applyNumberFormat="1" applyFont="1" applyBorder="1"/>
    <xf numFmtId="6" fontId="6" fillId="0" borderId="4" xfId="1" applyNumberFormat="1" applyFont="1" applyBorder="1"/>
    <xf numFmtId="0" fontId="6" fillId="0" borderId="11" xfId="0" applyFont="1" applyBorder="1"/>
    <xf numFmtId="6" fontId="6" fillId="0" borderId="11" xfId="0" applyNumberFormat="1" applyFont="1" applyBorder="1"/>
    <xf numFmtId="0" fontId="6" fillId="0" borderId="3" xfId="0" applyFont="1" applyFill="1" applyBorder="1"/>
    <xf numFmtId="6" fontId="6" fillId="0" borderId="7" xfId="0" applyNumberFormat="1" applyFont="1" applyBorder="1"/>
    <xf numFmtId="0" fontId="6" fillId="2" borderId="41" xfId="0" quotePrefix="1" applyFont="1" applyFill="1" applyBorder="1" applyAlignment="1" applyProtection="1">
      <alignment horizontal="center"/>
      <protection locked="0"/>
    </xf>
    <xf numFmtId="165" fontId="0" fillId="0" borderId="0" xfId="1" applyNumberFormat="1" applyFont="1" applyFill="1" applyAlignment="1">
      <alignment vertical="top" wrapText="1"/>
    </xf>
    <xf numFmtId="0" fontId="0" fillId="0" borderId="0" xfId="0" applyFill="1" applyAlignment="1">
      <alignment vertical="top" wrapText="1"/>
    </xf>
    <xf numFmtId="164" fontId="0" fillId="0" borderId="0" xfId="1" applyNumberFormat="1" applyFont="1" applyAlignment="1">
      <alignment vertical="top" wrapText="1"/>
    </xf>
    <xf numFmtId="0" fontId="0" fillId="0" borderId="0" xfId="0" applyFill="1" applyAlignment="1">
      <alignment horizontal="right" vertical="top" wrapText="1"/>
    </xf>
    <xf numFmtId="0" fontId="0" fillId="2" borderId="38" xfId="0" applyFill="1" applyBorder="1" applyAlignment="1" applyProtection="1">
      <alignment vertical="top"/>
      <protection locked="0"/>
    </xf>
    <xf numFmtId="6" fontId="4" fillId="0" borderId="25" xfId="3" applyNumberFormat="1" applyFont="1" applyFill="1" applyBorder="1" applyAlignment="1" applyProtection="1">
      <alignment horizontal="right" vertical="top"/>
    </xf>
    <xf numFmtId="6" fontId="4" fillId="0" borderId="17" xfId="3" applyNumberFormat="1" applyFont="1" applyFill="1" applyBorder="1" applyAlignment="1" applyProtection="1">
      <alignment horizontal="right" vertical="top"/>
    </xf>
    <xf numFmtId="6" fontId="4" fillId="0" borderId="48" xfId="3" applyNumberFormat="1" applyFont="1" applyFill="1" applyBorder="1" applyAlignment="1" applyProtection="1">
      <alignment horizontal="right" vertical="top"/>
    </xf>
    <xf numFmtId="6" fontId="13" fillId="0" borderId="45" xfId="3" applyNumberFormat="1" applyFont="1" applyFill="1" applyBorder="1" applyAlignment="1" applyProtection="1">
      <alignment horizontal="right" vertical="top"/>
    </xf>
    <xf numFmtId="6" fontId="4" fillId="0" borderId="34" xfId="3" applyNumberFormat="1" applyFont="1" applyFill="1" applyBorder="1" applyAlignment="1" applyProtection="1">
      <alignment horizontal="right" vertical="top"/>
    </xf>
    <xf numFmtId="6" fontId="4" fillId="0" borderId="37" xfId="3" applyNumberFormat="1" applyFont="1" applyFill="1" applyBorder="1" applyAlignment="1" applyProtection="1">
      <alignment horizontal="right" vertical="top"/>
    </xf>
    <xf numFmtId="6" fontId="4" fillId="0" borderId="19" xfId="0" applyNumberFormat="1" applyFont="1" applyFill="1" applyBorder="1" applyAlignment="1" applyProtection="1">
      <alignment horizontal="right" vertical="top"/>
    </xf>
    <xf numFmtId="6" fontId="4" fillId="0" borderId="25" xfId="0" applyNumberFormat="1" applyFont="1" applyFill="1" applyBorder="1" applyAlignment="1" applyProtection="1">
      <alignment horizontal="right" vertical="top"/>
    </xf>
    <xf numFmtId="6" fontId="4" fillId="0" borderId="17" xfId="0" applyNumberFormat="1" applyFont="1" applyFill="1" applyBorder="1" applyAlignment="1" applyProtection="1">
      <alignment horizontal="right" vertical="top"/>
    </xf>
    <xf numFmtId="6" fontId="4" fillId="0" borderId="22" xfId="0" applyNumberFormat="1" applyFont="1" applyFill="1" applyBorder="1" applyAlignment="1" applyProtection="1">
      <alignment horizontal="right" vertical="top"/>
    </xf>
    <xf numFmtId="6" fontId="4" fillId="0" borderId="37" xfId="0" applyNumberFormat="1" applyFont="1" applyFill="1" applyBorder="1" applyAlignment="1" applyProtection="1">
      <alignment horizontal="right" vertical="top"/>
    </xf>
    <xf numFmtId="6" fontId="4" fillId="0" borderId="48" xfId="0" applyNumberFormat="1" applyFont="1" applyFill="1" applyBorder="1" applyAlignment="1" applyProtection="1">
      <alignment horizontal="right" vertical="top"/>
    </xf>
    <xf numFmtId="6" fontId="13" fillId="0" borderId="31" xfId="0" applyNumberFormat="1" applyFont="1" applyFill="1" applyBorder="1" applyAlignment="1" applyProtection="1">
      <alignment horizontal="right" vertical="top"/>
    </xf>
    <xf numFmtId="6" fontId="4" fillId="0" borderId="34" xfId="0" applyNumberFormat="1" applyFont="1" applyFill="1" applyBorder="1" applyAlignment="1" applyProtection="1">
      <alignment horizontal="right" vertical="top"/>
    </xf>
    <xf numFmtId="6" fontId="4" fillId="0" borderId="28" xfId="0" applyNumberFormat="1" applyFont="1" applyFill="1" applyBorder="1" applyAlignment="1" applyProtection="1">
      <alignment horizontal="right" vertical="top"/>
    </xf>
    <xf numFmtId="6" fontId="4" fillId="0" borderId="31" xfId="0" applyNumberFormat="1" applyFont="1" applyFill="1" applyBorder="1" applyAlignment="1" applyProtection="1">
      <alignment horizontal="right" vertical="top"/>
    </xf>
    <xf numFmtId="0" fontId="2" fillId="0" borderId="51" xfId="0" applyFont="1" applyFill="1" applyBorder="1" applyAlignment="1">
      <alignment horizontal="center" vertical="top" wrapText="1"/>
    </xf>
    <xf numFmtId="0" fontId="0" fillId="0" borderId="52" xfId="0" applyFill="1" applyBorder="1" applyAlignment="1">
      <alignment horizontal="right" vertical="top"/>
    </xf>
    <xf numFmtId="0" fontId="0" fillId="0" borderId="53" xfId="0" applyFill="1" applyBorder="1" applyAlignment="1">
      <alignment horizontal="right" vertical="top"/>
    </xf>
    <xf numFmtId="0" fontId="0" fillId="0" borderId="54" xfId="0" applyFill="1" applyBorder="1" applyAlignment="1">
      <alignment horizontal="right" vertical="top"/>
    </xf>
    <xf numFmtId="0" fontId="0" fillId="0" borderId="55" xfId="0" applyFill="1" applyBorder="1" applyAlignment="1">
      <alignment horizontal="right" vertical="top"/>
    </xf>
    <xf numFmtId="0" fontId="2" fillId="0" borderId="0" xfId="0" applyFont="1" applyAlignment="1">
      <alignment horizontal="center"/>
    </xf>
    <xf numFmtId="0" fontId="0" fillId="0" borderId="0" xfId="0" applyAlignment="1"/>
    <xf numFmtId="0" fontId="2" fillId="0" borderId="16" xfId="0" applyFont="1" applyBorder="1" applyAlignment="1">
      <alignment horizontal="center"/>
    </xf>
    <xf numFmtId="0" fontId="0" fillId="0" borderId="16" xfId="0" applyBorder="1" applyAlignment="1">
      <alignment horizontal="center"/>
    </xf>
    <xf numFmtId="14" fontId="0" fillId="0" borderId="16" xfId="0" applyNumberFormat="1" applyBorder="1" applyAlignment="1">
      <alignment horizontal="center"/>
    </xf>
    <xf numFmtId="0" fontId="0" fillId="0" borderId="16" xfId="0" applyBorder="1" applyAlignment="1"/>
    <xf numFmtId="0" fontId="0" fillId="0" borderId="16" xfId="0" applyBorder="1" applyAlignment="1" applyProtection="1">
      <protection locked="0"/>
    </xf>
    <xf numFmtId="6" fontId="2" fillId="0" borderId="26" xfId="0" applyNumberFormat="1" applyFont="1" applyFill="1" applyBorder="1" applyAlignment="1">
      <alignment vertical="top"/>
    </xf>
    <xf numFmtId="6" fontId="2" fillId="0" borderId="16" xfId="0" applyNumberFormat="1" applyFont="1" applyFill="1" applyBorder="1" applyAlignment="1">
      <alignment vertical="top"/>
    </xf>
    <xf numFmtId="6" fontId="2" fillId="0" borderId="20" xfId="0" applyNumberFormat="1" applyFont="1" applyFill="1" applyBorder="1" applyAlignment="1">
      <alignment vertical="top"/>
    </xf>
    <xf numFmtId="6" fontId="2" fillId="0" borderId="38" xfId="0" applyNumberFormat="1" applyFont="1" applyFill="1" applyBorder="1" applyAlignment="1">
      <alignment vertical="top"/>
    </xf>
    <xf numFmtId="6" fontId="2" fillId="0" borderId="26" xfId="0" applyNumberFormat="1" applyFont="1" applyFill="1" applyBorder="1" applyAlignment="1">
      <alignment horizontal="center" vertical="top"/>
    </xf>
    <xf numFmtId="6" fontId="2" fillId="0" borderId="16" xfId="0" applyNumberFormat="1" applyFont="1" applyFill="1" applyBorder="1" applyAlignment="1">
      <alignment horizontal="center" vertical="top"/>
    </xf>
    <xf numFmtId="6" fontId="2" fillId="0" borderId="20" xfId="0" applyNumberFormat="1" applyFont="1" applyFill="1" applyBorder="1" applyAlignment="1">
      <alignment horizontal="center" vertical="top"/>
    </xf>
    <xf numFmtId="6" fontId="2" fillId="0" borderId="38" xfId="0" applyNumberFormat="1" applyFont="1" applyFill="1" applyBorder="1" applyAlignment="1">
      <alignment horizontal="center" vertical="top"/>
    </xf>
    <xf numFmtId="6" fontId="2" fillId="0" borderId="0" xfId="0" applyNumberFormat="1" applyFont="1" applyFill="1" applyAlignment="1">
      <alignment vertical="top"/>
    </xf>
    <xf numFmtId="6" fontId="2" fillId="0" borderId="0" xfId="0" applyNumberFormat="1" applyFont="1" applyFill="1" applyAlignment="1">
      <alignment vertical="top" wrapText="1"/>
    </xf>
    <xf numFmtId="0" fontId="0" fillId="0" borderId="0" xfId="0" applyAlignment="1">
      <alignment horizontal="left" vertical="top" wrapText="1"/>
    </xf>
    <xf numFmtId="0" fontId="6" fillId="0" borderId="0" xfId="0" applyFont="1" applyAlignment="1">
      <alignment horizontal="center"/>
    </xf>
    <xf numFmtId="0" fontId="5" fillId="0" borderId="1" xfId="0" applyFont="1" applyBorder="1" applyAlignment="1">
      <alignment horizontal="center" vertical="top"/>
    </xf>
    <xf numFmtId="0" fontId="5" fillId="0" borderId="11" xfId="0" applyFont="1" applyBorder="1" applyAlignment="1">
      <alignment horizontal="center" vertical="top"/>
    </xf>
    <xf numFmtId="0" fontId="5" fillId="0" borderId="2" xfId="0" applyFont="1" applyBorder="1" applyAlignment="1">
      <alignment horizontal="center" vertical="top"/>
    </xf>
    <xf numFmtId="0" fontId="6" fillId="0" borderId="1" xfId="0" applyFont="1" applyBorder="1" applyAlignment="1">
      <alignment horizontal="left" vertical="top" wrapText="1"/>
    </xf>
    <xf numFmtId="0" fontId="6" fillId="0" borderId="5" xfId="0" applyFont="1" applyBorder="1" applyAlignment="1">
      <alignment horizontal="left" vertical="top"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liquisearch.com/alexander_creek_alaska/demographics/popul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6AF47-25A5-48D4-A914-54C866C6BA96}">
  <dimension ref="A1:B15"/>
  <sheetViews>
    <sheetView tabSelected="1" zoomScale="150" zoomScaleNormal="150" workbookViewId="0">
      <selection activeCell="A3" sqref="A3:B3"/>
    </sheetView>
  </sheetViews>
  <sheetFormatPr defaultColWidth="9.109375" defaultRowHeight="14.4" x14ac:dyDescent="0.3"/>
  <cols>
    <col min="1" max="1" width="7.33203125" style="81" customWidth="1"/>
    <col min="2" max="2" width="106.88671875" style="81" customWidth="1"/>
    <col min="3" max="16384" width="9.109375" style="2"/>
  </cols>
  <sheetData>
    <row r="1" spans="1:2" ht="37.799999999999997" customHeight="1" x14ac:dyDescent="0.3">
      <c r="A1" s="273" t="s">
        <v>1008</v>
      </c>
      <c r="B1" s="273"/>
    </row>
    <row r="3" spans="1:2" ht="46.5" customHeight="1" x14ac:dyDescent="0.3">
      <c r="A3" s="273" t="s">
        <v>716</v>
      </c>
      <c r="B3" s="273"/>
    </row>
    <row r="4" spans="1:2" ht="46.5" customHeight="1" x14ac:dyDescent="0.3">
      <c r="A4" s="273" t="s">
        <v>717</v>
      </c>
      <c r="B4" s="273"/>
    </row>
    <row r="5" spans="1:2" ht="46.5" customHeight="1" x14ac:dyDescent="0.3">
      <c r="A5" s="273" t="s">
        <v>988</v>
      </c>
      <c r="B5" s="273"/>
    </row>
    <row r="6" spans="1:2" ht="46.5" customHeight="1" x14ac:dyDescent="0.3">
      <c r="A6" s="79"/>
      <c r="B6" s="79" t="s">
        <v>718</v>
      </c>
    </row>
    <row r="7" spans="1:2" ht="46.5" customHeight="1" x14ac:dyDescent="0.3">
      <c r="A7" s="79"/>
      <c r="B7" s="79" t="s">
        <v>719</v>
      </c>
    </row>
    <row r="8" spans="1:2" ht="46.5" customHeight="1" x14ac:dyDescent="0.3">
      <c r="A8" s="79"/>
      <c r="B8" s="79" t="s">
        <v>987</v>
      </c>
    </row>
    <row r="9" spans="1:2" ht="46.5" customHeight="1" x14ac:dyDescent="0.3">
      <c r="A9" s="273" t="s">
        <v>720</v>
      </c>
      <c r="B9" s="273"/>
    </row>
    <row r="10" spans="1:2" ht="46.5" customHeight="1" x14ac:dyDescent="0.3">
      <c r="A10" s="273" t="s">
        <v>721</v>
      </c>
      <c r="B10" s="273"/>
    </row>
    <row r="13" spans="1:2" x14ac:dyDescent="0.3">
      <c r="A13" s="82" t="s">
        <v>921</v>
      </c>
      <c r="B13" s="83"/>
    </row>
    <row r="14" spans="1:2" ht="24" x14ac:dyDescent="0.3">
      <c r="A14" s="83">
        <v>1</v>
      </c>
      <c r="B14" s="83" t="s">
        <v>922</v>
      </c>
    </row>
    <row r="15" spans="1:2" ht="24" x14ac:dyDescent="0.3">
      <c r="A15" s="83">
        <v>2</v>
      </c>
      <c r="B15" s="83" t="s">
        <v>920</v>
      </c>
    </row>
  </sheetData>
  <sheetProtection algorithmName="SHA-512" hashValue="JxmNyTXIc0mOaNsz0zLY34jymr3vPrNDY/7BWQPgq+OMyTxww2vtcB9uL6WCjtivqYNYiS44/eTvkLpqWtEegA==" saltValue="wWWFtKEVXTLtE9zMRqX1lA==" spinCount="100000" sheet="1" objects="1" scenarios="1"/>
  <mergeCells count="6">
    <mergeCell ref="A1:B1"/>
    <mergeCell ref="A3:B3"/>
    <mergeCell ref="A4:B4"/>
    <mergeCell ref="A5:B5"/>
    <mergeCell ref="A9:B9"/>
    <mergeCell ref="A10:B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4F865-17EF-4FC7-8A6D-3753283520BA}">
  <dimension ref="A1:C40"/>
  <sheetViews>
    <sheetView workbookViewId="0">
      <selection activeCell="B2" sqref="B2"/>
    </sheetView>
  </sheetViews>
  <sheetFormatPr defaultColWidth="9.109375" defaultRowHeight="14.4" x14ac:dyDescent="0.3"/>
  <cols>
    <col min="1" max="2" width="18.6640625" style="257" customWidth="1"/>
    <col min="3" max="3" width="92.88671875" style="257" customWidth="1"/>
    <col min="4" max="16384" width="9.109375" style="257"/>
  </cols>
  <sheetData>
    <row r="1" spans="1:3" s="256" customFormat="1" x14ac:dyDescent="0.3">
      <c r="A1" s="258" t="s">
        <v>1001</v>
      </c>
      <c r="B1" s="258" t="s">
        <v>1002</v>
      </c>
      <c r="C1" s="258" t="s">
        <v>1003</v>
      </c>
    </row>
    <row r="2" spans="1:3" x14ac:dyDescent="0.3">
      <c r="A2" s="259" t="s">
        <v>1004</v>
      </c>
      <c r="B2" s="260">
        <v>44959</v>
      </c>
      <c r="C2" s="261" t="s">
        <v>1005</v>
      </c>
    </row>
    <row r="3" spans="1:3" x14ac:dyDescent="0.3">
      <c r="A3" s="262"/>
      <c r="B3" s="262"/>
      <c r="C3" s="262"/>
    </row>
    <row r="4" spans="1:3" x14ac:dyDescent="0.3">
      <c r="A4" s="262"/>
      <c r="B4" s="262"/>
      <c r="C4" s="262"/>
    </row>
    <row r="5" spans="1:3" x14ac:dyDescent="0.3">
      <c r="A5" s="262"/>
      <c r="B5" s="262"/>
      <c r="C5" s="262"/>
    </row>
    <row r="6" spans="1:3" x14ac:dyDescent="0.3">
      <c r="A6" s="262"/>
      <c r="B6" s="262"/>
      <c r="C6" s="262"/>
    </row>
    <row r="7" spans="1:3" x14ac:dyDescent="0.3">
      <c r="A7" s="262"/>
      <c r="B7" s="262"/>
      <c r="C7" s="262"/>
    </row>
    <row r="8" spans="1:3" x14ac:dyDescent="0.3">
      <c r="A8" s="262"/>
      <c r="B8" s="262"/>
      <c r="C8" s="262"/>
    </row>
    <row r="9" spans="1:3" x14ac:dyDescent="0.3">
      <c r="A9" s="262"/>
      <c r="B9" s="262"/>
      <c r="C9" s="262"/>
    </row>
    <row r="10" spans="1:3" x14ac:dyDescent="0.3">
      <c r="A10" s="262"/>
      <c r="B10" s="262"/>
      <c r="C10" s="262"/>
    </row>
    <row r="11" spans="1:3" x14ac:dyDescent="0.3">
      <c r="A11" s="262"/>
      <c r="B11" s="262"/>
      <c r="C11" s="262"/>
    </row>
    <row r="12" spans="1:3" x14ac:dyDescent="0.3">
      <c r="A12" s="262"/>
      <c r="B12" s="262"/>
      <c r="C12" s="262"/>
    </row>
    <row r="13" spans="1:3" x14ac:dyDescent="0.3">
      <c r="A13" s="262"/>
      <c r="B13" s="262"/>
      <c r="C13" s="262"/>
    </row>
    <row r="14" spans="1:3" x14ac:dyDescent="0.3">
      <c r="A14" s="262"/>
      <c r="B14" s="262"/>
      <c r="C14" s="262"/>
    </row>
    <row r="15" spans="1:3" x14ac:dyDescent="0.3">
      <c r="A15" s="262"/>
      <c r="B15" s="262"/>
      <c r="C15" s="262"/>
    </row>
    <row r="16" spans="1:3" x14ac:dyDescent="0.3">
      <c r="A16" s="262"/>
      <c r="B16" s="262"/>
      <c r="C16" s="262"/>
    </row>
    <row r="17" spans="1:3" x14ac:dyDescent="0.3">
      <c r="A17" s="262"/>
      <c r="B17" s="262"/>
      <c r="C17" s="262"/>
    </row>
    <row r="18" spans="1:3" x14ac:dyDescent="0.3">
      <c r="A18" s="262"/>
      <c r="B18" s="262"/>
      <c r="C18" s="262"/>
    </row>
    <row r="19" spans="1:3" x14ac:dyDescent="0.3">
      <c r="A19" s="262"/>
      <c r="B19" s="262"/>
      <c r="C19" s="262"/>
    </row>
    <row r="20" spans="1:3" x14ac:dyDescent="0.3">
      <c r="A20" s="262"/>
      <c r="B20" s="262"/>
      <c r="C20" s="262"/>
    </row>
    <row r="21" spans="1:3" x14ac:dyDescent="0.3">
      <c r="A21" s="262"/>
      <c r="B21" s="262"/>
      <c r="C21" s="262"/>
    </row>
    <row r="22" spans="1:3" x14ac:dyDescent="0.3">
      <c r="A22" s="262"/>
      <c r="B22" s="262"/>
      <c r="C22" s="262"/>
    </row>
    <row r="23" spans="1:3" x14ac:dyDescent="0.3">
      <c r="A23" s="262"/>
      <c r="B23" s="262"/>
      <c r="C23" s="262"/>
    </row>
    <row r="24" spans="1:3" x14ac:dyDescent="0.3">
      <c r="A24" s="262"/>
      <c r="B24" s="262"/>
      <c r="C24" s="262"/>
    </row>
    <row r="25" spans="1:3" x14ac:dyDescent="0.3">
      <c r="A25" s="262"/>
      <c r="B25" s="262"/>
      <c r="C25" s="262"/>
    </row>
    <row r="26" spans="1:3" x14ac:dyDescent="0.3">
      <c r="A26" s="262"/>
      <c r="B26" s="262"/>
      <c r="C26" s="262"/>
    </row>
    <row r="27" spans="1:3" x14ac:dyDescent="0.3">
      <c r="A27" s="262"/>
      <c r="B27" s="262"/>
      <c r="C27" s="262"/>
    </row>
    <row r="28" spans="1:3" x14ac:dyDescent="0.3">
      <c r="A28" s="262"/>
      <c r="B28" s="262"/>
      <c r="C28" s="262"/>
    </row>
    <row r="29" spans="1:3" x14ac:dyDescent="0.3">
      <c r="A29" s="262"/>
      <c r="B29" s="262"/>
      <c r="C29" s="262"/>
    </row>
    <row r="30" spans="1:3" x14ac:dyDescent="0.3">
      <c r="A30" s="262"/>
      <c r="B30" s="262"/>
      <c r="C30" s="262"/>
    </row>
    <row r="31" spans="1:3" x14ac:dyDescent="0.3">
      <c r="A31" s="262"/>
      <c r="B31" s="262"/>
      <c r="C31" s="262"/>
    </row>
    <row r="32" spans="1:3" x14ac:dyDescent="0.3">
      <c r="A32" s="262"/>
      <c r="B32" s="262"/>
      <c r="C32" s="262"/>
    </row>
    <row r="33" spans="1:3" x14ac:dyDescent="0.3">
      <c r="A33" s="262"/>
      <c r="B33" s="262"/>
      <c r="C33" s="262"/>
    </row>
    <row r="34" spans="1:3" x14ac:dyDescent="0.3">
      <c r="A34" s="262"/>
      <c r="B34" s="262"/>
      <c r="C34" s="262"/>
    </row>
    <row r="35" spans="1:3" x14ac:dyDescent="0.3">
      <c r="A35" s="262"/>
      <c r="B35" s="262"/>
      <c r="C35" s="262"/>
    </row>
    <row r="36" spans="1:3" x14ac:dyDescent="0.3">
      <c r="A36" s="262"/>
      <c r="B36" s="262"/>
      <c r="C36" s="262"/>
    </row>
    <row r="37" spans="1:3" x14ac:dyDescent="0.3">
      <c r="A37" s="262"/>
      <c r="B37" s="262"/>
      <c r="C37" s="262"/>
    </row>
    <row r="38" spans="1:3" x14ac:dyDescent="0.3">
      <c r="A38" s="262"/>
      <c r="B38" s="262"/>
      <c r="C38" s="262"/>
    </row>
    <row r="39" spans="1:3" x14ac:dyDescent="0.3">
      <c r="A39" s="262"/>
      <c r="B39" s="262"/>
      <c r="C39" s="262"/>
    </row>
    <row r="40" spans="1:3" x14ac:dyDescent="0.3">
      <c r="A40" s="262"/>
      <c r="B40" s="262"/>
      <c r="C40" s="262"/>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543A7-180A-4200-B9BC-85728A364807}">
  <dimension ref="A1:S409"/>
  <sheetViews>
    <sheetView zoomScale="120" zoomScaleNormal="120" workbookViewId="0">
      <pane xSplit="3" ySplit="1" topLeftCell="I2" activePane="bottomRight" state="frozen"/>
      <selection pane="topRight" activeCell="D1" sqref="D1"/>
      <selection pane="bottomLeft" activeCell="A2" sqref="A2"/>
      <selection pane="bottomRight" activeCell="C8" sqref="C8"/>
    </sheetView>
  </sheetViews>
  <sheetFormatPr defaultColWidth="8.88671875" defaultRowHeight="14.4" x14ac:dyDescent="0.3"/>
  <cols>
    <col min="1" max="1" width="9.109375" style="110" customWidth="1"/>
    <col min="2" max="2" width="11.33203125" style="54" bestFit="1" customWidth="1"/>
    <col min="3" max="3" width="22.44140625" style="54" bestFit="1" customWidth="1"/>
    <col min="4" max="5" width="14.33203125" style="3" customWidth="1"/>
    <col min="6" max="7" width="8.88671875" style="54" customWidth="1"/>
    <col min="8" max="8" width="12.5546875" style="57" customWidth="1"/>
    <col min="9" max="9" width="39.109375" style="54" bestFit="1" customWidth="1"/>
    <col min="10" max="10" width="25" style="54" customWidth="1"/>
    <col min="11" max="11" width="12.44140625" style="55" customWidth="1"/>
    <col min="12" max="12" width="23.44140625" style="56" customWidth="1"/>
    <col min="13" max="13" width="22.109375" style="271" customWidth="1"/>
    <col min="14" max="15" width="18.6640625" style="58" customWidth="1"/>
    <col min="16" max="16" width="82" style="54" bestFit="1" customWidth="1"/>
    <col min="17" max="17" width="8.88671875" style="2"/>
    <col min="18" max="18" width="18" style="2" bestFit="1" customWidth="1"/>
    <col min="19" max="16384" width="8.88671875" style="2"/>
  </cols>
  <sheetData>
    <row r="1" spans="1:18" s="1" customFormat="1" ht="46.95" customHeight="1" thickBot="1" x14ac:dyDescent="0.35">
      <c r="A1" s="111" t="s">
        <v>504</v>
      </c>
      <c r="B1" s="112" t="s">
        <v>1</v>
      </c>
      <c r="C1" s="112" t="s">
        <v>2</v>
      </c>
      <c r="D1" s="113" t="s">
        <v>3</v>
      </c>
      <c r="E1" s="113" t="s">
        <v>4</v>
      </c>
      <c r="F1" s="112"/>
      <c r="G1" s="112" t="s">
        <v>406</v>
      </c>
      <c r="H1" s="114" t="s">
        <v>430</v>
      </c>
      <c r="I1" s="112" t="s">
        <v>407</v>
      </c>
      <c r="J1" s="112" t="s">
        <v>408</v>
      </c>
      <c r="K1" s="115" t="s">
        <v>652</v>
      </c>
      <c r="L1" s="114" t="s">
        <v>431</v>
      </c>
      <c r="M1" s="114" t="s">
        <v>432</v>
      </c>
      <c r="N1" s="112" t="s">
        <v>0</v>
      </c>
      <c r="O1" s="251" t="s">
        <v>1000</v>
      </c>
      <c r="P1" s="116" t="s">
        <v>419</v>
      </c>
      <c r="R1" s="1" t="s">
        <v>985</v>
      </c>
    </row>
    <row r="2" spans="1:18" x14ac:dyDescent="0.3">
      <c r="A2" s="107">
        <v>1.153999999999983</v>
      </c>
      <c r="B2" s="91" t="s">
        <v>5</v>
      </c>
      <c r="C2" s="91" t="s">
        <v>155</v>
      </c>
      <c r="D2" s="117">
        <v>153</v>
      </c>
      <c r="E2" s="117">
        <v>138</v>
      </c>
      <c r="F2" s="91"/>
      <c r="G2" s="91" t="s">
        <v>415</v>
      </c>
      <c r="H2" s="106">
        <f>IF(B2="Projects","N/A",IF(B2="Served","N/A",('Cost Basis'!E$3+('Cost Basis'!C$3*Model!D2))*(1+'Cost Basis'!F$3)))</f>
        <v>1427250</v>
      </c>
      <c r="I2" s="122" t="s">
        <v>412</v>
      </c>
      <c r="J2" s="91" t="s">
        <v>344</v>
      </c>
      <c r="K2" s="95">
        <v>693000</v>
      </c>
      <c r="L2" s="96">
        <f ca="1">IF(K2=0,"N/A",(LOOKUP(I2,'Cost Basis'!A$4:A$15,'Cost Basis'!E$4:E$15)+IF(LOOKUP(Model!I2,'Cost Basis'!A$4:A$11)=I2,LOOKUP(Model!I2,'Cost Basis'!A$4:A$11,'Cost Basis'!C$4:C$11)*Model!K2*(1+LOOKUP(I2,'Cost Basis'!A$4:A$15,'Cost Basis'!F$3:F$15)),LOOKUP(Model!I2,'Cost Basis'!A$4:A$15,'Cost Basis'!C$4:C$15)*ROUNDUP(Model!K2/5280/30,0))*(1+LOOKUP(I2,'Cost Basis'!A$4:A$15,'Cost Basis'!F$4:F$15))))</f>
        <v>28542960.000000007</v>
      </c>
      <c r="M2" s="263">
        <f t="shared" ref="M2:M41" ca="1" si="0">IF(L2="N/A",H2,H2+L2)</f>
        <v>29970210.000000007</v>
      </c>
      <c r="N2" s="97" t="s">
        <v>924</v>
      </c>
      <c r="O2" s="97" t="s">
        <v>989</v>
      </c>
      <c r="P2" s="126"/>
      <c r="Q2" s="2">
        <v>1</v>
      </c>
      <c r="R2" s="221">
        <f>K2/5280</f>
        <v>131.25</v>
      </c>
    </row>
    <row r="3" spans="1:18" x14ac:dyDescent="0.3">
      <c r="A3" s="80">
        <v>1.1939999999999786</v>
      </c>
      <c r="B3" s="59" t="s">
        <v>5</v>
      </c>
      <c r="C3" s="59" t="s">
        <v>194</v>
      </c>
      <c r="D3" s="118">
        <v>86</v>
      </c>
      <c r="E3" s="118">
        <v>66</v>
      </c>
      <c r="F3" s="59"/>
      <c r="G3" s="59" t="s">
        <v>415</v>
      </c>
      <c r="H3" s="60">
        <f>IF(B3="Projects","N/A",IF(B3="Served","N/A",('Cost Basis'!E$3+('Cost Basis'!C$3*Model!D3))*(1+'Cost Basis'!F$3)))</f>
        <v>874500.00000000012</v>
      </c>
      <c r="I3" s="123" t="s">
        <v>412</v>
      </c>
      <c r="J3" s="59" t="s">
        <v>155</v>
      </c>
      <c r="K3" s="61">
        <v>474500</v>
      </c>
      <c r="L3" s="62">
        <f ca="1">IF(K3=0,"N/A",(LOOKUP(I3,'Cost Basis'!A$4:A$15,'Cost Basis'!E$4:E$15)+IF(LOOKUP(Model!I3,'Cost Basis'!A$4:A$11)=I3,LOOKUP(Model!I3,'Cost Basis'!A$4:A$11,'Cost Basis'!C$4:C$11)*Model!K3*(1+LOOKUP(I3,'Cost Basis'!A$4:A$15,'Cost Basis'!F$3:F$15)),LOOKUP(Model!I3,'Cost Basis'!A$4:A$15,'Cost Basis'!C$4:C$15)*ROUNDUP(Model!K3/5280/30,0))*(1+LOOKUP(I3,'Cost Basis'!A$4:A$15,'Cost Basis'!F$4:F$15))))</f>
        <v>20082640.000000004</v>
      </c>
      <c r="M3" s="264">
        <f t="shared" ca="1" si="0"/>
        <v>20957140.000000004</v>
      </c>
      <c r="N3" s="64" t="s">
        <v>925</v>
      </c>
      <c r="O3" s="64" t="s">
        <v>989</v>
      </c>
      <c r="P3" s="69"/>
      <c r="Q3" s="2">
        <f>Q2</f>
        <v>1</v>
      </c>
      <c r="R3" s="221">
        <f t="shared" ref="R3:R66" si="1">K3/5280</f>
        <v>89.867424242424249</v>
      </c>
    </row>
    <row r="4" spans="1:18" ht="15" thickBot="1" x14ac:dyDescent="0.35">
      <c r="A4" s="108">
        <v>1.0409999999999955</v>
      </c>
      <c r="B4" s="72" t="s">
        <v>5</v>
      </c>
      <c r="C4" s="72" t="s">
        <v>43</v>
      </c>
      <c r="D4" s="120">
        <v>50</v>
      </c>
      <c r="E4" s="120">
        <v>35</v>
      </c>
      <c r="F4" s="72"/>
      <c r="G4" s="72" t="s">
        <v>415</v>
      </c>
      <c r="H4" s="74">
        <f>IF(B4="Projects","N/A",IF(B4="Served","N/A",('Cost Basis'!E$3+('Cost Basis'!C$3*Model!D4))*(1+'Cost Basis'!F$3)))</f>
        <v>577500</v>
      </c>
      <c r="I4" s="128" t="s">
        <v>412</v>
      </c>
      <c r="J4" s="72" t="s">
        <v>194</v>
      </c>
      <c r="K4" s="75">
        <v>135700</v>
      </c>
      <c r="L4" s="76">
        <f ca="1">IF(K4=0,"N/A",(LOOKUP(I4,'Cost Basis'!A$4:A$15,'Cost Basis'!E$4:E$15)+IF(LOOKUP(Model!I4,'Cost Basis'!A$4:A$11)=I4,LOOKUP(Model!I4,'Cost Basis'!A$4:A$11,'Cost Basis'!C$4:C$11)*Model!K4*(1+LOOKUP(I4,'Cost Basis'!A$4:A$15,'Cost Basis'!F$3:F$15)),LOOKUP(Model!I4,'Cost Basis'!A$4:A$15,'Cost Basis'!C$4:C$15)*ROUNDUP(Model!K4/5280/30,0))*(1+LOOKUP(I4,'Cost Basis'!A$4:A$15,'Cost Basis'!F$4:F$15))))</f>
        <v>6964304</v>
      </c>
      <c r="M4" s="265">
        <f t="shared" ca="1" si="0"/>
        <v>7541804</v>
      </c>
      <c r="N4" s="77" t="s">
        <v>926</v>
      </c>
      <c r="O4" s="77" t="s">
        <v>989</v>
      </c>
      <c r="P4" s="78"/>
      <c r="Q4" s="2">
        <f t="shared" ref="Q4:Q67" si="2">Q3</f>
        <v>1</v>
      </c>
      <c r="R4" s="221">
        <f t="shared" si="1"/>
        <v>25.700757575757574</v>
      </c>
    </row>
    <row r="5" spans="1:18" x14ac:dyDescent="0.3">
      <c r="A5" s="109">
        <v>1.0879999999999903</v>
      </c>
      <c r="B5" s="100" t="s">
        <v>5</v>
      </c>
      <c r="C5" s="100" t="s">
        <v>90</v>
      </c>
      <c r="D5" s="134">
        <v>6</v>
      </c>
      <c r="E5" s="134">
        <v>0</v>
      </c>
      <c r="F5" s="100"/>
      <c r="G5" s="100" t="s">
        <v>415</v>
      </c>
      <c r="H5" s="135">
        <f>IF(B5="Projects","N/A",IF(B5="Served","N/A",('Cost Basis'!E$3+('Cost Basis'!C$3*Model!D5))*(1+'Cost Basis'!F$3)))</f>
        <v>214500.00000000003</v>
      </c>
      <c r="I5" s="234" t="s">
        <v>416</v>
      </c>
      <c r="J5" s="100" t="s">
        <v>269</v>
      </c>
      <c r="K5" s="102">
        <v>282100</v>
      </c>
      <c r="L5" s="103">
        <f ca="1">IF(K5=0,"N/A",(LOOKUP(I5,'Cost Basis'!A$4:A$15,'Cost Basis'!E$4:E$15)+IF(LOOKUP(Model!I5,'Cost Basis'!A$4:A$11)=I5,LOOKUP(Model!I5,'Cost Basis'!A$4:A$11,'Cost Basis'!C$4:C$11)*Model!K5*(1+LOOKUP(I5,'Cost Basis'!A$4:A$15,'Cost Basis'!F$3:F$15)),LOOKUP(Model!I5,'Cost Basis'!A$4:A$15,'Cost Basis'!C$4:C$15)*ROUNDUP(Model!K5/5280/30,0))*(1+LOOKUP(I5,'Cost Basis'!A$4:A$15,'Cost Basis'!F$4:F$15))))</f>
        <v>13416935.000000002</v>
      </c>
      <c r="M5" s="266">
        <f t="shared" ca="1" si="0"/>
        <v>13631435.000000002</v>
      </c>
      <c r="N5" s="104" t="s">
        <v>927</v>
      </c>
      <c r="O5" s="104" t="s">
        <v>989</v>
      </c>
      <c r="P5" s="105"/>
      <c r="Q5" s="2">
        <f t="shared" si="2"/>
        <v>1</v>
      </c>
      <c r="R5" s="221">
        <f t="shared" si="1"/>
        <v>53.428030303030305</v>
      </c>
    </row>
    <row r="6" spans="1:18" x14ac:dyDescent="0.3">
      <c r="A6" s="80">
        <v>1.1579999999999826</v>
      </c>
      <c r="B6" s="59" t="s">
        <v>5</v>
      </c>
      <c r="C6" s="59" t="s">
        <v>159</v>
      </c>
      <c r="D6" s="118">
        <v>9</v>
      </c>
      <c r="E6" s="118">
        <v>2</v>
      </c>
      <c r="F6" s="59"/>
      <c r="G6" s="59" t="s">
        <v>415</v>
      </c>
      <c r="H6" s="60">
        <f>IF(B6="Projects","N/A",IF(B6="Served","N/A",('Cost Basis'!E$3+('Cost Basis'!C$3*Model!D6))*(1+'Cost Basis'!F$3)))</f>
        <v>239250.00000000003</v>
      </c>
      <c r="I6" s="123" t="s">
        <v>414</v>
      </c>
      <c r="J6" s="59" t="s">
        <v>353</v>
      </c>
      <c r="K6" s="61">
        <v>177000</v>
      </c>
      <c r="L6" s="62">
        <f ca="1">IF(K6=0,"N/A",(LOOKUP(I6,'Cost Basis'!A$4:A$15,'Cost Basis'!E$4:E$15)+IF(LOOKUP(Model!I6,'Cost Basis'!A$4:A$11)=I6,LOOKUP(Model!I6,'Cost Basis'!A$4:A$11,'Cost Basis'!C$4:C$11)*Model!K6*(1+LOOKUP(I6,'Cost Basis'!A$4:A$15,'Cost Basis'!F$3:F$15)),LOOKUP(Model!I6,'Cost Basis'!A$4:A$15,'Cost Basis'!C$4:C$15)*ROUNDUP(Model!K6/5280/30,0))*(1+LOOKUP(I6,'Cost Basis'!A$4:A$15,'Cost Basis'!F$4:F$15))))</f>
        <v>6550080</v>
      </c>
      <c r="M6" s="264">
        <f t="shared" ca="1" si="0"/>
        <v>6789330</v>
      </c>
      <c r="N6" s="64" t="s">
        <v>928</v>
      </c>
      <c r="O6" s="64" t="s">
        <v>989</v>
      </c>
      <c r="P6" s="69"/>
      <c r="Q6" s="2">
        <f t="shared" si="2"/>
        <v>1</v>
      </c>
      <c r="R6" s="221">
        <f t="shared" si="1"/>
        <v>33.522727272727273</v>
      </c>
    </row>
    <row r="7" spans="1:18" x14ac:dyDescent="0.3">
      <c r="A7" s="80">
        <v>1.0379999999999958</v>
      </c>
      <c r="B7" s="59" t="s">
        <v>5</v>
      </c>
      <c r="C7" s="59" t="s">
        <v>40</v>
      </c>
      <c r="D7" s="118">
        <v>34</v>
      </c>
      <c r="E7" s="118"/>
      <c r="F7" s="59"/>
      <c r="G7" s="59" t="s">
        <v>415</v>
      </c>
      <c r="H7" s="60">
        <f>IF(B7="Projects","N/A",IF(B7="Served","N/A",('Cost Basis'!E$3+('Cost Basis'!C$3*Model!D7))*(1+'Cost Basis'!F$3)))</f>
        <v>445500.00000000006</v>
      </c>
      <c r="I7" s="123" t="s">
        <v>414</v>
      </c>
      <c r="J7" s="59" t="s">
        <v>159</v>
      </c>
      <c r="K7" s="61">
        <v>210000</v>
      </c>
      <c r="L7" s="62">
        <f ca="1">IF(K7=0,"N/A",(LOOKUP(I7,'Cost Basis'!A$4:A$15,'Cost Basis'!E$4:E$15)+IF(LOOKUP(Model!I7,'Cost Basis'!A$4:A$11)=I7,LOOKUP(Model!I7,'Cost Basis'!A$4:A$11,'Cost Basis'!C$4:C$11)*Model!K7*(1+LOOKUP(I7,'Cost Basis'!A$4:A$15,'Cost Basis'!F$3:F$15)),LOOKUP(Model!I7,'Cost Basis'!A$4:A$15,'Cost Basis'!C$4:C$15)*ROUNDUP(Model!K7/5280/30,0))*(1+LOOKUP(I7,'Cost Basis'!A$4:A$15,'Cost Basis'!F$4:F$15))))</f>
        <v>7508400.0000000009</v>
      </c>
      <c r="M7" s="264">
        <f t="shared" ca="1" si="0"/>
        <v>7953900.0000000009</v>
      </c>
      <c r="N7" s="64" t="s">
        <v>929</v>
      </c>
      <c r="O7" s="64" t="s">
        <v>989</v>
      </c>
      <c r="P7" s="69"/>
      <c r="Q7" s="2">
        <f t="shared" si="2"/>
        <v>1</v>
      </c>
      <c r="R7" s="221">
        <f t="shared" si="1"/>
        <v>39.772727272727273</v>
      </c>
    </row>
    <row r="8" spans="1:18" x14ac:dyDescent="0.3">
      <c r="A8" s="80">
        <v>1.1969999999999783</v>
      </c>
      <c r="B8" s="59" t="s">
        <v>5</v>
      </c>
      <c r="C8" s="59" t="s">
        <v>197</v>
      </c>
      <c r="D8" s="118">
        <v>82</v>
      </c>
      <c r="E8" s="118">
        <v>61</v>
      </c>
      <c r="F8" s="59"/>
      <c r="G8" s="59" t="s">
        <v>415</v>
      </c>
      <c r="H8" s="60">
        <f>IF(B8="Projects","N/A",IF(B8="Served","N/A",('Cost Basis'!E$3+('Cost Basis'!C$3*Model!D8))*(1+'Cost Basis'!F$3)))</f>
        <v>841500.00000000012</v>
      </c>
      <c r="I8" s="123" t="s">
        <v>416</v>
      </c>
      <c r="J8" s="59" t="s">
        <v>40</v>
      </c>
      <c r="K8" s="61">
        <v>135300</v>
      </c>
      <c r="L8" s="62">
        <f ca="1">IF(K8=0,"N/A",(LOOKUP(I8,'Cost Basis'!A$4:A$15,'Cost Basis'!E$4:E$15)+IF(LOOKUP(Model!I8,'Cost Basis'!A$4:A$11)=I8,LOOKUP(Model!I8,'Cost Basis'!A$4:A$11,'Cost Basis'!C$4:C$11)*Model!K8*(1+LOOKUP(I8,'Cost Basis'!A$4:A$15,'Cost Basis'!F$3:F$15)),LOOKUP(Model!I8,'Cost Basis'!A$4:A$15,'Cost Basis'!C$4:C$15)*ROUNDUP(Model!K8/5280/30,0))*(1+LOOKUP(I8,'Cost Basis'!A$4:A$15,'Cost Basis'!F$4:F$15))))</f>
        <v>7199955</v>
      </c>
      <c r="M8" s="264">
        <f t="shared" ca="1" si="0"/>
        <v>8041455</v>
      </c>
      <c r="N8" s="64" t="s">
        <v>930</v>
      </c>
      <c r="O8" s="64" t="s">
        <v>989</v>
      </c>
      <c r="P8" s="69"/>
      <c r="Q8" s="2">
        <f t="shared" si="2"/>
        <v>1</v>
      </c>
      <c r="R8" s="221">
        <f t="shared" si="1"/>
        <v>25.625</v>
      </c>
    </row>
    <row r="9" spans="1:18" x14ac:dyDescent="0.3">
      <c r="A9" s="80">
        <v>1.0559999999999938</v>
      </c>
      <c r="B9" s="59" t="s">
        <v>5</v>
      </c>
      <c r="C9" s="59" t="s">
        <v>58</v>
      </c>
      <c r="D9" s="118">
        <v>68</v>
      </c>
      <c r="E9" s="118">
        <v>48</v>
      </c>
      <c r="F9" s="59"/>
      <c r="G9" s="59" t="s">
        <v>415</v>
      </c>
      <c r="H9" s="60">
        <f>IF(B9="Projects","N/A",IF(B9="Served","N/A",('Cost Basis'!E$3+('Cost Basis'!C$3*Model!D9))*(1+'Cost Basis'!F$3)))</f>
        <v>726000.00000000012</v>
      </c>
      <c r="I9" s="123" t="s">
        <v>412</v>
      </c>
      <c r="J9" s="59" t="s">
        <v>353</v>
      </c>
      <c r="K9" s="61">
        <v>712000</v>
      </c>
      <c r="L9" s="62">
        <f ca="1">IF(K9=0,"N/A",(LOOKUP(I9,'Cost Basis'!A$4:A$15,'Cost Basis'!E$4:E$15)+IF(LOOKUP(Model!I9,'Cost Basis'!A$4:A$11)=I9,LOOKUP(Model!I9,'Cost Basis'!A$4:A$11,'Cost Basis'!C$4:C$11)*Model!K9*(1+LOOKUP(I9,'Cost Basis'!A$4:A$15,'Cost Basis'!F$3:F$15)),LOOKUP(Model!I9,'Cost Basis'!A$4:A$15,'Cost Basis'!C$4:C$15)*ROUNDUP(Model!K9/5280/30,0))*(1+LOOKUP(I9,'Cost Basis'!A$4:A$15,'Cost Basis'!F$4:F$15))))</f>
        <v>29278640.000000007</v>
      </c>
      <c r="M9" s="264">
        <f t="shared" ca="1" si="0"/>
        <v>30004640.000000007</v>
      </c>
      <c r="N9" s="64" t="s">
        <v>931</v>
      </c>
      <c r="O9" s="64" t="s">
        <v>989</v>
      </c>
      <c r="P9" s="69"/>
      <c r="Q9" s="2">
        <f t="shared" si="2"/>
        <v>1</v>
      </c>
      <c r="R9" s="221">
        <f t="shared" si="1"/>
        <v>134.84848484848484</v>
      </c>
    </row>
    <row r="10" spans="1:18" x14ac:dyDescent="0.3">
      <c r="A10" s="80">
        <v>1.0499999999999945</v>
      </c>
      <c r="B10" s="59" t="s">
        <v>5</v>
      </c>
      <c r="C10" s="59" t="s">
        <v>52</v>
      </c>
      <c r="D10" s="118">
        <v>67</v>
      </c>
      <c r="E10" s="118">
        <v>55</v>
      </c>
      <c r="F10" s="59"/>
      <c r="G10" s="59" t="s">
        <v>415</v>
      </c>
      <c r="H10" s="60">
        <f>IF(B10="Projects","N/A",IF(B10="Served","N/A",('Cost Basis'!E$3+('Cost Basis'!C$3*Model!D10))*(1+'Cost Basis'!F$3)))</f>
        <v>717750</v>
      </c>
      <c r="I10" s="123" t="s">
        <v>412</v>
      </c>
      <c r="J10" s="59" t="s">
        <v>434</v>
      </c>
      <c r="K10" s="61">
        <v>229500</v>
      </c>
      <c r="L10" s="62">
        <f ca="1">IF(K10=0,"N/A",(LOOKUP(I10,'Cost Basis'!A$4:A$15,'Cost Basis'!E$4:E$15)+IF(LOOKUP(Model!I10,'Cost Basis'!A$4:A$11)=I10,LOOKUP(Model!I10,'Cost Basis'!A$4:A$11,'Cost Basis'!C$4:C$11)*Model!K10*(1+LOOKUP(I10,'Cost Basis'!A$4:A$15,'Cost Basis'!F$3:F$15)),LOOKUP(Model!I10,'Cost Basis'!A$4:A$15,'Cost Basis'!C$4:C$15)*ROUNDUP(Model!K10/5280/30,0))*(1+LOOKUP(I10,'Cost Basis'!A$4:A$15,'Cost Basis'!F$4:F$15))))</f>
        <v>10596240.000000002</v>
      </c>
      <c r="M10" s="264">
        <f t="shared" ca="1" si="0"/>
        <v>11313990.000000002</v>
      </c>
      <c r="N10" s="64" t="s">
        <v>932</v>
      </c>
      <c r="O10" s="64" t="s">
        <v>989</v>
      </c>
      <c r="P10" s="69"/>
      <c r="Q10" s="2">
        <f t="shared" si="2"/>
        <v>1</v>
      </c>
      <c r="R10" s="221">
        <f t="shared" si="1"/>
        <v>43.465909090909093</v>
      </c>
    </row>
    <row r="11" spans="1:18" x14ac:dyDescent="0.3">
      <c r="A11" s="80">
        <v>1.0779999999999914</v>
      </c>
      <c r="B11" s="59" t="s">
        <v>5</v>
      </c>
      <c r="C11" s="59" t="s">
        <v>80</v>
      </c>
      <c r="D11" s="118">
        <v>94</v>
      </c>
      <c r="E11" s="118">
        <v>82</v>
      </c>
      <c r="F11" s="59"/>
      <c r="G11" s="59" t="s">
        <v>415</v>
      </c>
      <c r="H11" s="60">
        <f>IF(B11="Projects","N/A",IF(B11="Served","N/A",('Cost Basis'!E$3+('Cost Basis'!C$3*Model!D11))*(1+'Cost Basis'!F$3)))</f>
        <v>940500.00000000012</v>
      </c>
      <c r="I11" s="123" t="s">
        <v>412</v>
      </c>
      <c r="J11" s="59" t="s">
        <v>444</v>
      </c>
      <c r="K11" s="61">
        <v>239000</v>
      </c>
      <c r="L11" s="62">
        <f ca="1">IF(K11=0,"N/A",(LOOKUP(I11,'Cost Basis'!A$4:A$15,'Cost Basis'!E$4:E$15)+IF(LOOKUP(Model!I11,'Cost Basis'!A$4:A$11)=I11,LOOKUP(Model!I11,'Cost Basis'!A$4:A$11,'Cost Basis'!C$4:C$11)*Model!K11*(1+LOOKUP(I11,'Cost Basis'!A$4:A$15,'Cost Basis'!F$3:F$15)),LOOKUP(Model!I11,'Cost Basis'!A$4:A$15,'Cost Basis'!C$4:C$15)*ROUNDUP(Model!K11/5280/30,0))*(1+LOOKUP(I11,'Cost Basis'!A$4:A$15,'Cost Basis'!F$4:F$15))))</f>
        <v>10964080</v>
      </c>
      <c r="M11" s="264">
        <f t="shared" ca="1" si="0"/>
        <v>11904580</v>
      </c>
      <c r="N11" s="64" t="s">
        <v>933</v>
      </c>
      <c r="O11" s="64" t="s">
        <v>989</v>
      </c>
      <c r="P11" s="69"/>
      <c r="Q11" s="2">
        <f t="shared" si="2"/>
        <v>1</v>
      </c>
      <c r="R11" s="221">
        <f t="shared" si="1"/>
        <v>45.265151515151516</v>
      </c>
    </row>
    <row r="12" spans="1:18" x14ac:dyDescent="0.3">
      <c r="A12" s="80">
        <v>1.1529999999999831</v>
      </c>
      <c r="B12" s="59" t="s">
        <v>5</v>
      </c>
      <c r="C12" s="59" t="s">
        <v>154</v>
      </c>
      <c r="D12" s="118">
        <v>88</v>
      </c>
      <c r="E12" s="118">
        <v>76</v>
      </c>
      <c r="F12" s="59"/>
      <c r="G12" s="59" t="s">
        <v>415</v>
      </c>
      <c r="H12" s="60">
        <f>IF(B12="Projects","N/A",IF(B12="Served","N/A",('Cost Basis'!E$3+('Cost Basis'!C$3*Model!D12))*(1+'Cost Basis'!F$3)))</f>
        <v>891000.00000000012</v>
      </c>
      <c r="I12" s="123" t="s">
        <v>412</v>
      </c>
      <c r="J12" s="59" t="s">
        <v>464</v>
      </c>
      <c r="K12" s="61">
        <v>154927</v>
      </c>
      <c r="L12" s="62">
        <f ca="1">IF(K12=0,"N/A",(LOOKUP(I12,'Cost Basis'!A$4:A$15,'Cost Basis'!E$4:E$15)+IF(LOOKUP(Model!I12,'Cost Basis'!A$4:A$11)=I12,LOOKUP(Model!I12,'Cost Basis'!A$4:A$11,'Cost Basis'!C$4:C$11)*Model!K12*(1+LOOKUP(I12,'Cost Basis'!A$4:A$15,'Cost Basis'!F$3:F$15)),LOOKUP(Model!I12,'Cost Basis'!A$4:A$15,'Cost Basis'!C$4:C$15)*ROUNDUP(Model!K12/5280/30,0))*(1+LOOKUP(I12,'Cost Basis'!A$4:A$15,'Cost Basis'!F$4:F$15))))</f>
        <v>7708773.4400000013</v>
      </c>
      <c r="M12" s="264">
        <f t="shared" ca="1" si="0"/>
        <v>8599773.4400000013</v>
      </c>
      <c r="N12" s="64" t="s">
        <v>934</v>
      </c>
      <c r="O12" s="64" t="s">
        <v>989</v>
      </c>
      <c r="P12" s="69"/>
      <c r="Q12" s="2">
        <f t="shared" si="2"/>
        <v>1</v>
      </c>
      <c r="R12" s="221">
        <f t="shared" si="1"/>
        <v>29.34223484848485</v>
      </c>
    </row>
    <row r="13" spans="1:18" x14ac:dyDescent="0.3">
      <c r="A13" s="80">
        <v>1.190999999999979</v>
      </c>
      <c r="B13" s="59" t="s">
        <v>5</v>
      </c>
      <c r="C13" s="59" t="s">
        <v>191</v>
      </c>
      <c r="D13" s="118">
        <v>206</v>
      </c>
      <c r="E13" s="118">
        <v>155</v>
      </c>
      <c r="F13" s="59"/>
      <c r="G13" s="59" t="s">
        <v>415</v>
      </c>
      <c r="H13" s="60">
        <f>IF(B13="Projects","N/A",IF(B13="Served","N/A",('Cost Basis'!E$3+('Cost Basis'!C$3*Model!D13))*(1+'Cost Basis'!F$3)))</f>
        <v>1864500.0000000002</v>
      </c>
      <c r="I13" s="123" t="s">
        <v>412</v>
      </c>
      <c r="J13" s="59" t="s">
        <v>468</v>
      </c>
      <c r="K13" s="61">
        <v>273000</v>
      </c>
      <c r="L13" s="62">
        <f ca="1">IF(K13=0,"N/A",(LOOKUP(I13,'Cost Basis'!A$4:A$15,'Cost Basis'!E$4:E$15)+IF(LOOKUP(Model!I13,'Cost Basis'!A$4:A$11)=I13,LOOKUP(Model!I13,'Cost Basis'!A$4:A$11,'Cost Basis'!C$4:C$11)*Model!K13*(1+LOOKUP(I13,'Cost Basis'!A$4:A$15,'Cost Basis'!F$3:F$15)),LOOKUP(Model!I13,'Cost Basis'!A$4:A$15,'Cost Basis'!C$4:C$15)*ROUNDUP(Model!K13/5280/30,0))*(1+LOOKUP(I13,'Cost Basis'!A$4:A$15,'Cost Basis'!F$4:F$15))))</f>
        <v>12280560</v>
      </c>
      <c r="M13" s="264">
        <f t="shared" ca="1" si="0"/>
        <v>14145060</v>
      </c>
      <c r="N13" s="64" t="s">
        <v>935</v>
      </c>
      <c r="O13" s="64" t="s">
        <v>989</v>
      </c>
      <c r="P13" s="69"/>
      <c r="Q13" s="2">
        <f t="shared" si="2"/>
        <v>1</v>
      </c>
      <c r="R13" s="221">
        <f t="shared" si="1"/>
        <v>51.704545454545453</v>
      </c>
    </row>
    <row r="14" spans="1:18" x14ac:dyDescent="0.3">
      <c r="A14" s="80">
        <v>1.1619999999999822</v>
      </c>
      <c r="B14" s="59" t="s">
        <v>5</v>
      </c>
      <c r="C14" s="59" t="s">
        <v>163</v>
      </c>
      <c r="D14" s="118">
        <v>82</v>
      </c>
      <c r="E14" s="118">
        <v>67</v>
      </c>
      <c r="F14" s="59"/>
      <c r="G14" s="59" t="s">
        <v>415</v>
      </c>
      <c r="H14" s="60">
        <f>IF(B14="Projects","N/A",IF(B14="Served","N/A",('Cost Basis'!E$3+('Cost Basis'!C$3*Model!D14))*(1+'Cost Basis'!F$3)))</f>
        <v>841500.00000000012</v>
      </c>
      <c r="I14" s="123" t="s">
        <v>412</v>
      </c>
      <c r="J14" s="59" t="s">
        <v>461</v>
      </c>
      <c r="K14" s="61">
        <v>164700</v>
      </c>
      <c r="L14" s="62">
        <f ca="1">IF(K14=0,"N/A",(LOOKUP(I14,'Cost Basis'!A$4:A$15,'Cost Basis'!E$4:E$15)+IF(LOOKUP(Model!I14,'Cost Basis'!A$4:A$11)=I14,LOOKUP(Model!I14,'Cost Basis'!A$4:A$11,'Cost Basis'!C$4:C$11)*Model!K14*(1+LOOKUP(I14,'Cost Basis'!A$4:A$15,'Cost Basis'!F$3:F$15)),LOOKUP(Model!I14,'Cost Basis'!A$4:A$15,'Cost Basis'!C$4:C$15)*ROUNDUP(Model!K14/5280/30,0))*(1+LOOKUP(I14,'Cost Basis'!A$4:A$15,'Cost Basis'!F$4:F$15))))</f>
        <v>8087184.0000000019</v>
      </c>
      <c r="M14" s="264">
        <f t="shared" ca="1" si="0"/>
        <v>8928684.0000000019</v>
      </c>
      <c r="N14" s="64" t="s">
        <v>936</v>
      </c>
      <c r="O14" s="64" t="s">
        <v>989</v>
      </c>
      <c r="P14" s="69"/>
      <c r="Q14" s="2">
        <f t="shared" si="2"/>
        <v>1</v>
      </c>
      <c r="R14" s="221">
        <f t="shared" si="1"/>
        <v>31.193181818181817</v>
      </c>
    </row>
    <row r="15" spans="1:18" x14ac:dyDescent="0.3">
      <c r="A15" s="80">
        <v>1.1639999999999819</v>
      </c>
      <c r="B15" s="59" t="s">
        <v>5</v>
      </c>
      <c r="C15" s="59" t="s">
        <v>165</v>
      </c>
      <c r="D15" s="118">
        <v>160</v>
      </c>
      <c r="E15" s="118">
        <v>155</v>
      </c>
      <c r="F15" s="59"/>
      <c r="G15" s="59" t="s">
        <v>415</v>
      </c>
      <c r="H15" s="60">
        <f>IF(B15="Projects","N/A",IF(B15="Served","N/A",('Cost Basis'!E$3+('Cost Basis'!C$3*Model!D15))*(1+'Cost Basis'!F$3)))</f>
        <v>1485000.0000000002</v>
      </c>
      <c r="I15" s="123" t="s">
        <v>421</v>
      </c>
      <c r="J15" s="59" t="s">
        <v>465</v>
      </c>
      <c r="K15" s="61">
        <v>51000</v>
      </c>
      <c r="L15" s="62">
        <f ca="1">IF(K15=0,"N/A",(LOOKUP(I15,'Cost Basis'!A$4:A$15,'Cost Basis'!E$4:E$15)+IF(LOOKUP(Model!I15,'Cost Basis'!A$4:A$11)=I15,LOOKUP(Model!I15,'Cost Basis'!A$4:A$11,'Cost Basis'!C$4:C$11)*Model!K15*(1+LOOKUP(I15,'Cost Basis'!A$4:A$15,'Cost Basis'!F$3:F$15)),LOOKUP(Model!I15,'Cost Basis'!A$4:A$15,'Cost Basis'!C$4:C$15)*ROUNDUP(Model!K15/5280/30,0))*(1+LOOKUP(I15,'Cost Basis'!A$4:A$15,'Cost Basis'!F$4:F$15))))</f>
        <v>3207880.0000000005</v>
      </c>
      <c r="M15" s="264">
        <f t="shared" ca="1" si="0"/>
        <v>4692880.0000000009</v>
      </c>
      <c r="N15" s="64" t="s">
        <v>937</v>
      </c>
      <c r="O15" s="64" t="s">
        <v>989</v>
      </c>
      <c r="P15" s="69"/>
      <c r="Q15" s="2">
        <f t="shared" si="2"/>
        <v>1</v>
      </c>
      <c r="R15" s="221">
        <f t="shared" si="1"/>
        <v>9.6590909090909083</v>
      </c>
    </row>
    <row r="16" spans="1:18" x14ac:dyDescent="0.3">
      <c r="A16" s="80">
        <v>1.0659999999999927</v>
      </c>
      <c r="B16" s="59" t="s">
        <v>5</v>
      </c>
      <c r="C16" s="59" t="s">
        <v>68</v>
      </c>
      <c r="D16" s="118">
        <v>166</v>
      </c>
      <c r="E16" s="118">
        <v>146</v>
      </c>
      <c r="F16" s="59"/>
      <c r="G16" s="59" t="s">
        <v>415</v>
      </c>
      <c r="H16" s="60">
        <f>IF(B16="Projects","N/A",IF(B16="Served","N/A",('Cost Basis'!E$3+('Cost Basis'!C$3*Model!D16))*(1+'Cost Basis'!F$3)))</f>
        <v>1534500.0000000002</v>
      </c>
      <c r="I16" s="123" t="s">
        <v>674</v>
      </c>
      <c r="J16" s="59" t="s">
        <v>165</v>
      </c>
      <c r="K16" s="61">
        <v>1408336</v>
      </c>
      <c r="L16" s="62">
        <f ca="1">IF(K16=0,"N/A",(LOOKUP(I16,'Cost Basis'!A$4:A$15,'Cost Basis'!E$4:E$15)+IF(LOOKUP(Model!I16,'Cost Basis'!A$4:A$11)=I16,LOOKUP(Model!I16,'Cost Basis'!A$4:A$11,'Cost Basis'!C$4:C$11)*Model!K16*(1+LOOKUP(I16,'Cost Basis'!A$4:A$15,'Cost Basis'!F$3:F$15)),LOOKUP(Model!I16,'Cost Basis'!A$4:A$15,'Cost Basis'!C$4:C$15)*ROUNDUP(Model!K16/5280/30,0))*(1+LOOKUP(I16,'Cost Basis'!A$4:A$15,'Cost Basis'!F$4:F$15))))</f>
        <v>63057116.160000004</v>
      </c>
      <c r="M16" s="264">
        <f t="shared" ca="1" si="0"/>
        <v>64591616.160000004</v>
      </c>
      <c r="N16" s="64" t="s">
        <v>938</v>
      </c>
      <c r="O16" s="253" t="s">
        <v>990</v>
      </c>
      <c r="P16" s="69"/>
      <c r="Q16" s="2">
        <f t="shared" si="2"/>
        <v>1</v>
      </c>
      <c r="R16" s="221">
        <f t="shared" si="1"/>
        <v>266.73030303030305</v>
      </c>
    </row>
    <row r="17" spans="1:18" x14ac:dyDescent="0.3">
      <c r="A17" s="80">
        <v>1.0229999999999975</v>
      </c>
      <c r="B17" s="59" t="s">
        <v>5</v>
      </c>
      <c r="C17" s="59" t="s">
        <v>26</v>
      </c>
      <c r="D17" s="118">
        <v>184</v>
      </c>
      <c r="E17" s="118">
        <v>140</v>
      </c>
      <c r="F17" s="59"/>
      <c r="G17" s="59" t="s">
        <v>415</v>
      </c>
      <c r="H17" s="60">
        <f>IF(B17="Projects","N/A",IF(B17="Served","N/A",('Cost Basis'!E$3+('Cost Basis'!C$3*Model!D17))*(1+'Cost Basis'!F$3)))</f>
        <v>1683000.0000000002</v>
      </c>
      <c r="I17" s="123" t="s">
        <v>421</v>
      </c>
      <c r="J17" s="59" t="s">
        <v>68</v>
      </c>
      <c r="K17" s="61">
        <v>100200</v>
      </c>
      <c r="L17" s="62">
        <f ca="1">IF(K17=0,"N/A",(LOOKUP(I17,'Cost Basis'!A$4:A$15,'Cost Basis'!E$4:E$15)+IF(LOOKUP(Model!I17,'Cost Basis'!A$4:A$11)=I17,LOOKUP(Model!I17,'Cost Basis'!A$4:A$11,'Cost Basis'!C$4:C$11)*Model!K17*(1+LOOKUP(I17,'Cost Basis'!A$4:A$15,'Cost Basis'!F$3:F$15)),LOOKUP(Model!I17,'Cost Basis'!A$4:A$15,'Cost Basis'!C$4:C$15)*ROUNDUP(Model!K17/5280/30,0))*(1+LOOKUP(I17,'Cost Basis'!A$4:A$15,'Cost Basis'!F$4:F$15))))</f>
        <v>4874776.0000000009</v>
      </c>
      <c r="M17" s="264">
        <f t="shared" ca="1" si="0"/>
        <v>6557776.0000000009</v>
      </c>
      <c r="N17" s="64" t="s">
        <v>939</v>
      </c>
      <c r="O17" s="253" t="s">
        <v>990</v>
      </c>
      <c r="P17" s="69"/>
      <c r="Q17" s="2">
        <f t="shared" si="2"/>
        <v>1</v>
      </c>
      <c r="R17" s="221">
        <f t="shared" si="1"/>
        <v>18.977272727272727</v>
      </c>
    </row>
    <row r="18" spans="1:18" x14ac:dyDescent="0.3">
      <c r="A18" s="80">
        <v>1.0939999999999896</v>
      </c>
      <c r="B18" s="59" t="s">
        <v>5</v>
      </c>
      <c r="C18" s="59" t="s">
        <v>96</v>
      </c>
      <c r="D18" s="118">
        <v>46</v>
      </c>
      <c r="E18" s="118">
        <v>41</v>
      </c>
      <c r="F18" s="59"/>
      <c r="G18" s="59" t="s">
        <v>415</v>
      </c>
      <c r="H18" s="60">
        <f>IF(B18="Projects","N/A",IF(B18="Served","N/A",('Cost Basis'!E$3+('Cost Basis'!C$3*Model!D18))*(1+'Cost Basis'!F$3)))</f>
        <v>544500</v>
      </c>
      <c r="I18" s="123" t="s">
        <v>412</v>
      </c>
      <c r="J18" s="59" t="s">
        <v>449</v>
      </c>
      <c r="K18" s="61">
        <v>722000</v>
      </c>
      <c r="L18" s="62">
        <f ca="1">IF(K18=0,"N/A",(LOOKUP(I18,'Cost Basis'!A$4:A$15,'Cost Basis'!E$4:E$15)+IF(LOOKUP(Model!I18,'Cost Basis'!A$4:A$11)=I18,LOOKUP(Model!I18,'Cost Basis'!A$4:A$11,'Cost Basis'!C$4:C$11)*Model!K18*(1+LOOKUP(I18,'Cost Basis'!A$4:A$15,'Cost Basis'!F$3:F$15)),LOOKUP(Model!I18,'Cost Basis'!A$4:A$15,'Cost Basis'!C$4:C$15)*ROUNDUP(Model!K18/5280/30,0))*(1+LOOKUP(I18,'Cost Basis'!A$4:A$15,'Cost Basis'!F$4:F$15))))</f>
        <v>29665840.000000007</v>
      </c>
      <c r="M18" s="264">
        <f t="shared" ca="1" si="0"/>
        <v>30210340.000000007</v>
      </c>
      <c r="N18" s="64" t="s">
        <v>940</v>
      </c>
      <c r="O18" s="253" t="s">
        <v>990</v>
      </c>
      <c r="P18" s="69"/>
      <c r="Q18" s="2">
        <f t="shared" si="2"/>
        <v>1</v>
      </c>
      <c r="R18" s="221">
        <f t="shared" si="1"/>
        <v>136.74242424242425</v>
      </c>
    </row>
    <row r="19" spans="1:18" x14ac:dyDescent="0.3">
      <c r="A19" s="80">
        <v>1.1869999999999794</v>
      </c>
      <c r="B19" s="59" t="s">
        <v>5</v>
      </c>
      <c r="C19" s="59" t="s">
        <v>187</v>
      </c>
      <c r="D19" s="118">
        <v>68</v>
      </c>
      <c r="E19" s="118">
        <v>63</v>
      </c>
      <c r="F19" s="59"/>
      <c r="G19" s="59" t="s">
        <v>415</v>
      </c>
      <c r="H19" s="60">
        <f>IF(B19="Projects","N/A",IF(B19="Served","N/A",('Cost Basis'!E$3+('Cost Basis'!C$3*Model!D19))*(1+'Cost Basis'!F$3)))</f>
        <v>726000.00000000012</v>
      </c>
      <c r="I19" s="123" t="s">
        <v>412</v>
      </c>
      <c r="J19" s="59" t="s">
        <v>467</v>
      </c>
      <c r="K19" s="61">
        <v>283300</v>
      </c>
      <c r="L19" s="62">
        <f ca="1">IF(K19=0,"N/A",(LOOKUP(I19,'Cost Basis'!A$4:A$15,'Cost Basis'!E$4:E$15)+IF(LOOKUP(Model!I19,'Cost Basis'!A$4:A$11)=I19,LOOKUP(Model!I19,'Cost Basis'!A$4:A$11,'Cost Basis'!C$4:C$11)*Model!K19*(1+LOOKUP(I19,'Cost Basis'!A$4:A$15,'Cost Basis'!F$3:F$15)),LOOKUP(Model!I19,'Cost Basis'!A$4:A$15,'Cost Basis'!C$4:C$15)*ROUNDUP(Model!K19/5280/30,0))*(1+LOOKUP(I19,'Cost Basis'!A$4:A$15,'Cost Basis'!F$4:F$15))))</f>
        <v>12679376</v>
      </c>
      <c r="M19" s="264">
        <f t="shared" ca="1" si="0"/>
        <v>13405376</v>
      </c>
      <c r="N19" s="64" t="s">
        <v>941</v>
      </c>
      <c r="O19" s="253" t="s">
        <v>990</v>
      </c>
      <c r="P19" s="69"/>
      <c r="Q19" s="2">
        <f t="shared" si="2"/>
        <v>1</v>
      </c>
      <c r="R19" s="221">
        <f t="shared" si="1"/>
        <v>53.655303030303031</v>
      </c>
    </row>
    <row r="20" spans="1:18" x14ac:dyDescent="0.3">
      <c r="A20" s="80">
        <v>1.1849999999999796</v>
      </c>
      <c r="B20" s="59" t="s">
        <v>5</v>
      </c>
      <c r="C20" s="59" t="s">
        <v>185</v>
      </c>
      <c r="D20" s="118">
        <v>193</v>
      </c>
      <c r="E20" s="118">
        <v>172</v>
      </c>
      <c r="F20" s="59"/>
      <c r="G20" s="59" t="s">
        <v>415</v>
      </c>
      <c r="H20" s="60">
        <f>IF(B20="Projects","N/A",IF(B20="Served","N/A",('Cost Basis'!E$3+('Cost Basis'!C$3*Model!D20))*(1+'Cost Basis'!F$3)))</f>
        <v>1757250.0000000002</v>
      </c>
      <c r="I20" s="123" t="s">
        <v>414</v>
      </c>
      <c r="J20" s="59" t="s">
        <v>187</v>
      </c>
      <c r="K20" s="61">
        <v>40000</v>
      </c>
      <c r="L20" s="62">
        <f ca="1">IF(K20=0,"N/A",(LOOKUP(I20,'Cost Basis'!A$4:A$15,'Cost Basis'!E$4:E$15)+IF(LOOKUP(Model!I20,'Cost Basis'!A$4:A$11)=I20,LOOKUP(Model!I20,'Cost Basis'!A$4:A$11,'Cost Basis'!C$4:C$11)*Model!K20*(1+LOOKUP(I20,'Cost Basis'!A$4:A$15,'Cost Basis'!F$3:F$15)),LOOKUP(Model!I20,'Cost Basis'!A$4:A$15,'Cost Basis'!C$4:C$15)*ROUNDUP(Model!K20/5280/30,0))*(1+LOOKUP(I20,'Cost Basis'!A$4:A$15,'Cost Basis'!F$4:F$15))))</f>
        <v>2571600</v>
      </c>
      <c r="M20" s="264">
        <f t="shared" ca="1" si="0"/>
        <v>4328850</v>
      </c>
      <c r="N20" s="64" t="s">
        <v>971</v>
      </c>
      <c r="O20" s="253" t="s">
        <v>990</v>
      </c>
      <c r="P20" s="69"/>
      <c r="Q20" s="2">
        <f t="shared" si="2"/>
        <v>1</v>
      </c>
      <c r="R20" s="221">
        <f t="shared" si="1"/>
        <v>7.5757575757575761</v>
      </c>
    </row>
    <row r="21" spans="1:18" x14ac:dyDescent="0.3">
      <c r="A21" s="80">
        <v>1.1039999999999885</v>
      </c>
      <c r="B21" s="59" t="s">
        <v>5</v>
      </c>
      <c r="C21" s="59" t="s">
        <v>105</v>
      </c>
      <c r="D21" s="118">
        <v>36</v>
      </c>
      <c r="E21" s="118">
        <v>30</v>
      </c>
      <c r="F21" s="59"/>
      <c r="G21" s="59" t="s">
        <v>415</v>
      </c>
      <c r="H21" s="60">
        <f>IF(B21="Projects","N/A",IF(B21="Served","N/A",('Cost Basis'!E$3+('Cost Basis'!C$3*Model!D21))*(1+'Cost Basis'!F$3)))</f>
        <v>462000.00000000006</v>
      </c>
      <c r="I21" s="123" t="s">
        <v>414</v>
      </c>
      <c r="J21" s="59" t="s">
        <v>451</v>
      </c>
      <c r="K21" s="61">
        <v>97800</v>
      </c>
      <c r="L21" s="62">
        <f ca="1">IF(K21=0,"N/A",(LOOKUP(I21,'Cost Basis'!A$4:A$15,'Cost Basis'!E$4:E$15)+IF(LOOKUP(Model!I21,'Cost Basis'!A$4:A$11)=I21,LOOKUP(Model!I21,'Cost Basis'!A$4:A$11,'Cost Basis'!C$4:C$11)*Model!K21*(1+LOOKUP(I21,'Cost Basis'!A$4:A$15,'Cost Basis'!F$3:F$15)),LOOKUP(Model!I21,'Cost Basis'!A$4:A$15,'Cost Basis'!C$4:C$15)*ROUNDUP(Model!K21/5280/30,0))*(1+LOOKUP(I21,'Cost Basis'!A$4:A$15,'Cost Basis'!F$4:F$15))))</f>
        <v>4250112</v>
      </c>
      <c r="M21" s="264">
        <f t="shared" ca="1" si="0"/>
        <v>4712112</v>
      </c>
      <c r="N21" s="64" t="s">
        <v>972</v>
      </c>
      <c r="O21" s="253" t="s">
        <v>990</v>
      </c>
      <c r="P21" s="69"/>
      <c r="Q21" s="2">
        <f t="shared" si="2"/>
        <v>1</v>
      </c>
      <c r="R21" s="221">
        <f t="shared" si="1"/>
        <v>18.522727272727273</v>
      </c>
    </row>
    <row r="22" spans="1:18" x14ac:dyDescent="0.3">
      <c r="A22" s="80">
        <v>1.09099999999999</v>
      </c>
      <c r="B22" s="59" t="s">
        <v>5</v>
      </c>
      <c r="C22" s="59" t="s">
        <v>93</v>
      </c>
      <c r="D22" s="118">
        <v>108</v>
      </c>
      <c r="E22" s="118">
        <v>92</v>
      </c>
      <c r="F22" s="59"/>
      <c r="G22" s="59" t="s">
        <v>415</v>
      </c>
      <c r="H22" s="60">
        <f>IF(B22="Projects","N/A",IF(B22="Served","N/A",('Cost Basis'!E$3+('Cost Basis'!C$3*Model!D22))*(1+'Cost Basis'!F$3)))</f>
        <v>1056000</v>
      </c>
      <c r="I22" s="123" t="s">
        <v>412</v>
      </c>
      <c r="J22" s="59" t="s">
        <v>448</v>
      </c>
      <c r="K22" s="61">
        <v>170100</v>
      </c>
      <c r="L22" s="62">
        <f ca="1">IF(K22=0,"N/A",(LOOKUP(I22,'Cost Basis'!A$4:A$15,'Cost Basis'!E$4:E$15)+IF(LOOKUP(Model!I22,'Cost Basis'!A$4:A$11)=I22,LOOKUP(Model!I22,'Cost Basis'!A$4:A$11,'Cost Basis'!C$4:C$11)*Model!K22*(1+LOOKUP(I22,'Cost Basis'!A$4:A$15,'Cost Basis'!F$3:F$15)),LOOKUP(Model!I22,'Cost Basis'!A$4:A$15,'Cost Basis'!C$4:C$15)*ROUNDUP(Model!K22/5280/30,0))*(1+LOOKUP(I22,'Cost Basis'!A$4:A$15,'Cost Basis'!F$4:F$15))))</f>
        <v>8296272.0000000019</v>
      </c>
      <c r="M22" s="264">
        <f t="shared" ca="1" si="0"/>
        <v>9352272.0000000019</v>
      </c>
      <c r="N22" s="64" t="s">
        <v>942</v>
      </c>
      <c r="O22" s="253" t="s">
        <v>990</v>
      </c>
      <c r="P22" s="69"/>
      <c r="Q22" s="2">
        <f t="shared" si="2"/>
        <v>1</v>
      </c>
      <c r="R22" s="221">
        <f t="shared" si="1"/>
        <v>32.215909090909093</v>
      </c>
    </row>
    <row r="23" spans="1:18" x14ac:dyDescent="0.3">
      <c r="A23" s="80">
        <v>1.0911</v>
      </c>
      <c r="B23" s="59" t="s">
        <v>5</v>
      </c>
      <c r="C23" s="59" t="s">
        <v>93</v>
      </c>
      <c r="D23" s="127"/>
      <c r="E23" s="127"/>
      <c r="F23" s="59"/>
      <c r="G23" s="59"/>
      <c r="H23" s="60"/>
      <c r="I23" s="123" t="s">
        <v>674</v>
      </c>
      <c r="J23" s="59" t="s">
        <v>973</v>
      </c>
      <c r="K23" s="61">
        <v>1829000</v>
      </c>
      <c r="L23" s="62">
        <f ca="1">IF(K23=0,"N/A",(LOOKUP(I23,'Cost Basis'!A$4:A$15,'Cost Basis'!E$4:E$15)+IF(LOOKUP(Model!I23,'Cost Basis'!A$4:A$11)=I23,LOOKUP(Model!I23,'Cost Basis'!A$4:A$11,'Cost Basis'!C$4:C$11)*Model!K23*(1+LOOKUP(I23,'Cost Basis'!A$4:A$15,'Cost Basis'!F$3:F$15)),LOOKUP(Model!I23,'Cost Basis'!A$4:A$15,'Cost Basis'!C$4:C$15)*ROUNDUP(Model!K23/5280/30,0))*(1+LOOKUP(I23,'Cost Basis'!A$4:A$15,'Cost Basis'!F$4:F$15))))</f>
        <v>81381240</v>
      </c>
      <c r="M23" s="264">
        <f t="shared" ca="1" si="0"/>
        <v>81381240</v>
      </c>
      <c r="N23" s="64" t="s">
        <v>974</v>
      </c>
      <c r="O23" s="253" t="s">
        <v>990</v>
      </c>
      <c r="P23" s="69" t="s">
        <v>975</v>
      </c>
      <c r="Q23" s="2">
        <f t="shared" si="2"/>
        <v>1</v>
      </c>
      <c r="R23" s="221">
        <f t="shared" si="1"/>
        <v>346.40151515151513</v>
      </c>
    </row>
    <row r="24" spans="1:18" x14ac:dyDescent="0.3">
      <c r="A24" s="80">
        <v>1.1839999999999797</v>
      </c>
      <c r="B24" s="59" t="s">
        <v>5</v>
      </c>
      <c r="C24" s="59" t="s">
        <v>184</v>
      </c>
      <c r="D24" s="118">
        <v>286</v>
      </c>
      <c r="E24" s="118">
        <v>235</v>
      </c>
      <c r="F24" s="59"/>
      <c r="G24" s="59" t="s">
        <v>415</v>
      </c>
      <c r="H24" s="60">
        <f>IF(B24="Projects","N/A",IF(B24="Served","N/A",('Cost Basis'!E$3+('Cost Basis'!C$3*Model!D24))*(1+'Cost Basis'!F$3)))</f>
        <v>2524500</v>
      </c>
      <c r="I24" s="123" t="s">
        <v>412</v>
      </c>
      <c r="J24" s="59" t="s">
        <v>272</v>
      </c>
      <c r="K24" s="61">
        <v>739400</v>
      </c>
      <c r="L24" s="62">
        <f ca="1">IF(K24=0,"N/A",(LOOKUP(I24,'Cost Basis'!A$4:A$15,'Cost Basis'!E$4:E$15)+IF(LOOKUP(Model!I24,'Cost Basis'!A$4:A$11)=I24,LOOKUP(Model!I24,'Cost Basis'!A$4:A$11,'Cost Basis'!C$4:C$11)*Model!K24*(1+LOOKUP(I24,'Cost Basis'!A$4:A$15,'Cost Basis'!F$3:F$15)),LOOKUP(Model!I24,'Cost Basis'!A$4:A$15,'Cost Basis'!C$4:C$15)*ROUNDUP(Model!K24/5280/30,0))*(1+LOOKUP(I24,'Cost Basis'!A$4:A$15,'Cost Basis'!F$4:F$15))))</f>
        <v>30339568.000000007</v>
      </c>
      <c r="M24" s="264">
        <f t="shared" ca="1" si="0"/>
        <v>32864068.000000007</v>
      </c>
      <c r="N24" s="67" t="s">
        <v>943</v>
      </c>
      <c r="O24" s="253" t="s">
        <v>991</v>
      </c>
      <c r="P24" s="69"/>
      <c r="Q24" s="2">
        <f t="shared" si="2"/>
        <v>1</v>
      </c>
      <c r="R24" s="221">
        <f t="shared" si="1"/>
        <v>140.03787878787878</v>
      </c>
    </row>
    <row r="25" spans="1:18" x14ac:dyDescent="0.3">
      <c r="A25" s="80">
        <v>1.1879999999999793</v>
      </c>
      <c r="B25" s="59" t="s">
        <v>5</v>
      </c>
      <c r="C25" s="59" t="s">
        <v>188</v>
      </c>
      <c r="D25" s="118">
        <v>35</v>
      </c>
      <c r="E25" s="118">
        <v>25</v>
      </c>
      <c r="F25" s="59"/>
      <c r="G25" s="59" t="s">
        <v>415</v>
      </c>
      <c r="H25" s="60">
        <f>IF(B25="Projects","N/A",IF(B25="Served","N/A",('Cost Basis'!E$3+('Cost Basis'!C$3*Model!D25))*(1+'Cost Basis'!F$3)))</f>
        <v>453750.00000000006</v>
      </c>
      <c r="I25" s="123" t="s">
        <v>412</v>
      </c>
      <c r="J25" s="59" t="s">
        <v>184</v>
      </c>
      <c r="K25" s="61">
        <f>22100</f>
        <v>22100</v>
      </c>
      <c r="L25" s="62">
        <f ca="1">IF(K25=0,"N/A",(LOOKUP(I25,'Cost Basis'!A$4:A$15,'Cost Basis'!E$4:E$15)+IF(LOOKUP(Model!I25,'Cost Basis'!A$4:A$11)=I25,LOOKUP(Model!I25,'Cost Basis'!A$4:A$11,'Cost Basis'!C$4:C$11)*Model!K25*(1+LOOKUP(I25,'Cost Basis'!A$4:A$15,'Cost Basis'!F$3:F$15)),LOOKUP(Model!I25,'Cost Basis'!A$4:A$15,'Cost Basis'!C$4:C$15)*ROUNDUP(Model!K25/5280/30,0))*(1+LOOKUP(I25,'Cost Basis'!A$4:A$15,'Cost Basis'!F$4:F$15))))</f>
        <v>2565712</v>
      </c>
      <c r="M25" s="264">
        <f t="shared" ca="1" si="0"/>
        <v>3019462</v>
      </c>
      <c r="N25" s="64" t="s">
        <v>944</v>
      </c>
      <c r="O25" s="253" t="s">
        <v>991</v>
      </c>
      <c r="P25" s="69"/>
      <c r="Q25" s="2">
        <f t="shared" si="2"/>
        <v>1</v>
      </c>
      <c r="R25" s="221">
        <f t="shared" si="1"/>
        <v>4.1856060606060606</v>
      </c>
    </row>
    <row r="26" spans="1:18" x14ac:dyDescent="0.3">
      <c r="A26" s="80">
        <v>1.18799999999998</v>
      </c>
      <c r="B26" s="59" t="s">
        <v>5</v>
      </c>
      <c r="C26" s="59" t="s">
        <v>188</v>
      </c>
      <c r="D26" s="127"/>
      <c r="E26" s="127"/>
      <c r="F26" s="59"/>
      <c r="G26" s="59" t="s">
        <v>415</v>
      </c>
      <c r="H26" s="60">
        <f>IF(B26="Projects","N/A",IF(B26="Served","N/A",('Cost Basis'!E$3+('Cost Basis'!C$3*Model!D26))*(1+'Cost Basis'!F$3)))</f>
        <v>165000</v>
      </c>
      <c r="I26" s="123" t="s">
        <v>414</v>
      </c>
      <c r="J26" s="59" t="s">
        <v>184</v>
      </c>
      <c r="K26" s="61">
        <f>16000</f>
        <v>16000</v>
      </c>
      <c r="L26" s="62">
        <f ca="1">IF(K26=0,"N/A",(LOOKUP(I26,'Cost Basis'!A$4:A$15,'Cost Basis'!E$4:E$15)+IF(LOOKUP(Model!I26,'Cost Basis'!A$4:A$11)=I26,LOOKUP(Model!I26,'Cost Basis'!A$4:A$11,'Cost Basis'!C$4:C$11)*Model!K26*(1+LOOKUP(I26,'Cost Basis'!A$4:A$15,'Cost Basis'!F$3:F$15)),LOOKUP(Model!I26,'Cost Basis'!A$4:A$15,'Cost Basis'!C$4:C$15)*ROUNDUP(Model!K26/5280/30,0))*(1+LOOKUP(I26,'Cost Basis'!A$4:A$15,'Cost Basis'!F$4:F$15))))</f>
        <v>1874640</v>
      </c>
      <c r="M26" s="264">
        <f t="shared" ca="1" si="0"/>
        <v>2039640</v>
      </c>
      <c r="N26" s="64" t="s">
        <v>944</v>
      </c>
      <c r="O26" s="253" t="s">
        <v>991</v>
      </c>
      <c r="P26" s="69" t="s">
        <v>707</v>
      </c>
      <c r="Q26" s="2">
        <f t="shared" si="2"/>
        <v>1</v>
      </c>
      <c r="R26" s="221">
        <f t="shared" si="1"/>
        <v>3.0303030303030303</v>
      </c>
    </row>
    <row r="27" spans="1:18" x14ac:dyDescent="0.3">
      <c r="A27" s="80">
        <v>1.1419999999999844</v>
      </c>
      <c r="B27" s="59" t="s">
        <v>5</v>
      </c>
      <c r="C27" s="59" t="s">
        <v>143</v>
      </c>
      <c r="D27" s="118">
        <v>15</v>
      </c>
      <c r="E27" s="118">
        <v>2</v>
      </c>
      <c r="F27" s="59"/>
      <c r="G27" s="59" t="s">
        <v>415</v>
      </c>
      <c r="H27" s="60">
        <f>IF(B27="Projects","N/A",IF(B27="Served","N/A",('Cost Basis'!E$3+('Cost Basis'!C$3*Model!D27))*(1+'Cost Basis'!F$3)))</f>
        <v>288750</v>
      </c>
      <c r="I27" s="123" t="s">
        <v>416</v>
      </c>
      <c r="J27" s="59" t="s">
        <v>272</v>
      </c>
      <c r="K27" s="61">
        <v>183700</v>
      </c>
      <c r="L27" s="62">
        <f ca="1">IF(K27=0,"N/A",(LOOKUP(I27,'Cost Basis'!A$4:A$15,'Cost Basis'!E$4:E$15)+IF(LOOKUP(Model!I27,'Cost Basis'!A$4:A$11)=I27,LOOKUP(Model!I27,'Cost Basis'!A$4:A$11,'Cost Basis'!C$4:C$11)*Model!K27*(1+LOOKUP(I27,'Cost Basis'!A$4:A$15,'Cost Basis'!F$3:F$15)),LOOKUP(Model!I27,'Cost Basis'!A$4:A$15,'Cost Basis'!C$4:C$15)*ROUNDUP(Model!K27/5280/30,0))*(1+LOOKUP(I27,'Cost Basis'!A$4:A$15,'Cost Basis'!F$4:F$15))))</f>
        <v>9249695.0000000019</v>
      </c>
      <c r="M27" s="264">
        <f t="shared" ca="1" si="0"/>
        <v>9538445.0000000019</v>
      </c>
      <c r="N27" s="64" t="s">
        <v>945</v>
      </c>
      <c r="O27" s="253" t="s">
        <v>991</v>
      </c>
      <c r="P27" s="69"/>
      <c r="Q27" s="2">
        <f t="shared" si="2"/>
        <v>1</v>
      </c>
      <c r="R27" s="221">
        <f t="shared" si="1"/>
        <v>34.791666666666664</v>
      </c>
    </row>
    <row r="28" spans="1:18" x14ac:dyDescent="0.3">
      <c r="A28" s="80">
        <v>1.1589999999999825</v>
      </c>
      <c r="B28" s="59" t="s">
        <v>5</v>
      </c>
      <c r="C28" s="59" t="s">
        <v>160</v>
      </c>
      <c r="D28" s="118">
        <v>122</v>
      </c>
      <c r="E28" s="118">
        <v>17</v>
      </c>
      <c r="F28" s="59"/>
      <c r="G28" s="59" t="s">
        <v>415</v>
      </c>
      <c r="H28" s="60">
        <f>IF(B28="Projects","N/A",IF(B28="Served","N/A",('Cost Basis'!E$3+('Cost Basis'!C$3*Model!D28))*(1+'Cost Basis'!F$3)))</f>
        <v>1171500</v>
      </c>
      <c r="I28" s="123" t="s">
        <v>416</v>
      </c>
      <c r="J28" s="59" t="s">
        <v>245</v>
      </c>
      <c r="K28" s="61">
        <v>6000</v>
      </c>
      <c r="L28" s="62">
        <f ca="1">IF(K28=0,"N/A",(LOOKUP(I28,'Cost Basis'!A$4:A$15,'Cost Basis'!E$4:E$15)+IF(LOOKUP(Model!I28,'Cost Basis'!A$4:A$11)=I28,LOOKUP(Model!I28,'Cost Basis'!A$4:A$11,'Cost Basis'!C$4:C$11)*Model!K28*(1+LOOKUP(I28,'Cost Basis'!A$4:A$15,'Cost Basis'!F$3:F$15)),LOOKUP(Model!I28,'Cost Basis'!A$4:A$15,'Cost Basis'!C$4:C$15)*ROUNDUP(Model!K28/5280/30,0))*(1+LOOKUP(I28,'Cost Basis'!A$4:A$15,'Cost Basis'!F$4:F$15))))</f>
        <v>1724100</v>
      </c>
      <c r="M28" s="264">
        <f t="shared" ca="1" si="0"/>
        <v>2895600</v>
      </c>
      <c r="N28" s="64" t="s">
        <v>946</v>
      </c>
      <c r="O28" s="253" t="s">
        <v>991</v>
      </c>
      <c r="P28" s="69"/>
      <c r="Q28" s="2">
        <f t="shared" si="2"/>
        <v>1</v>
      </c>
      <c r="R28" s="221">
        <f t="shared" si="1"/>
        <v>1.1363636363636365</v>
      </c>
    </row>
    <row r="29" spans="1:18" x14ac:dyDescent="0.3">
      <c r="A29" s="80">
        <v>1.0469999999999948</v>
      </c>
      <c r="B29" s="59" t="s">
        <v>5</v>
      </c>
      <c r="C29" s="59" t="s">
        <v>49</v>
      </c>
      <c r="D29" s="118">
        <v>281</v>
      </c>
      <c r="E29" s="118">
        <v>7</v>
      </c>
      <c r="F29" s="59"/>
      <c r="G29" s="59" t="s">
        <v>415</v>
      </c>
      <c r="H29" s="60">
        <f>IF(B29="Projects","N/A",IF(B29="Served","N/A",('Cost Basis'!E$3+('Cost Basis'!C$3*Model!D29))*(1+'Cost Basis'!F$3)))</f>
        <v>2483250</v>
      </c>
      <c r="I29" s="123" t="s">
        <v>412</v>
      </c>
      <c r="J29" s="59" t="s">
        <v>160</v>
      </c>
      <c r="K29" s="61">
        <v>307600</v>
      </c>
      <c r="L29" s="62">
        <f ca="1">IF(K29=0,"N/A",(LOOKUP(I29,'Cost Basis'!A$4:A$15,'Cost Basis'!E$4:E$15)+IF(LOOKUP(Model!I29,'Cost Basis'!A$4:A$11)=I29,LOOKUP(Model!I29,'Cost Basis'!A$4:A$11,'Cost Basis'!C$4:C$11)*Model!K29*(1+LOOKUP(I29,'Cost Basis'!A$4:A$15,'Cost Basis'!F$3:F$15)),LOOKUP(Model!I29,'Cost Basis'!A$4:A$15,'Cost Basis'!C$4:C$15)*ROUNDUP(Model!K29/5280/30,0))*(1+LOOKUP(I29,'Cost Basis'!A$4:A$15,'Cost Basis'!F$4:F$15))))</f>
        <v>13620272.000000002</v>
      </c>
      <c r="M29" s="264">
        <f t="shared" ca="1" si="0"/>
        <v>16103522.000000002</v>
      </c>
      <c r="N29" s="64" t="s">
        <v>947</v>
      </c>
      <c r="O29" s="253" t="s">
        <v>991</v>
      </c>
      <c r="P29" s="69"/>
      <c r="Q29" s="2">
        <f t="shared" si="2"/>
        <v>1</v>
      </c>
      <c r="R29" s="221">
        <f t="shared" si="1"/>
        <v>58.257575757575758</v>
      </c>
    </row>
    <row r="30" spans="1:18" x14ac:dyDescent="0.3">
      <c r="A30" s="80">
        <v>1.1309999999999856</v>
      </c>
      <c r="B30" s="59" t="s">
        <v>5</v>
      </c>
      <c r="C30" s="59" t="s">
        <v>132</v>
      </c>
      <c r="D30" s="118">
        <v>69</v>
      </c>
      <c r="E30" s="118">
        <v>26</v>
      </c>
      <c r="F30" s="59"/>
      <c r="G30" s="59" t="s">
        <v>415</v>
      </c>
      <c r="H30" s="60">
        <f>IF(B30="Projects","N/A",IF(B30="Served","N/A",('Cost Basis'!E$3+('Cost Basis'!C$3*Model!D30))*(1+'Cost Basis'!F$3)))</f>
        <v>734250.00000000012</v>
      </c>
      <c r="I30" s="123" t="s">
        <v>412</v>
      </c>
      <c r="J30" s="59" t="s">
        <v>455</v>
      </c>
      <c r="K30" s="61">
        <v>293100</v>
      </c>
      <c r="L30" s="62">
        <f ca="1">IF(K30=0,"N/A",(LOOKUP(I30,'Cost Basis'!A$4:A$15,'Cost Basis'!E$4:E$15)+IF(LOOKUP(Model!I30,'Cost Basis'!A$4:A$11)=I30,LOOKUP(Model!I30,'Cost Basis'!A$4:A$11,'Cost Basis'!C$4:C$11)*Model!K30*(1+LOOKUP(I30,'Cost Basis'!A$4:A$15,'Cost Basis'!F$3:F$15)),LOOKUP(Model!I30,'Cost Basis'!A$4:A$15,'Cost Basis'!C$4:C$15)*ROUNDUP(Model!K30/5280/30,0))*(1+LOOKUP(I30,'Cost Basis'!A$4:A$15,'Cost Basis'!F$4:F$15))))</f>
        <v>13058832</v>
      </c>
      <c r="M30" s="264">
        <f t="shared" ca="1" si="0"/>
        <v>13793082</v>
      </c>
      <c r="N30" s="64" t="s">
        <v>948</v>
      </c>
      <c r="O30" s="253" t="s">
        <v>991</v>
      </c>
      <c r="P30" s="69"/>
      <c r="Q30" s="2">
        <f t="shared" si="2"/>
        <v>1</v>
      </c>
      <c r="R30" s="221">
        <f t="shared" si="1"/>
        <v>55.511363636363633</v>
      </c>
    </row>
    <row r="31" spans="1:18" x14ac:dyDescent="0.3">
      <c r="A31" s="80">
        <v>1.1899999999999791</v>
      </c>
      <c r="B31" s="59" t="s">
        <v>5</v>
      </c>
      <c r="C31" s="59" t="s">
        <v>190</v>
      </c>
      <c r="D31" s="118">
        <v>39</v>
      </c>
      <c r="E31" s="118">
        <v>4</v>
      </c>
      <c r="F31" s="59"/>
      <c r="G31" s="59" t="s">
        <v>415</v>
      </c>
      <c r="H31" s="60">
        <f>IF(B31="Projects","N/A",IF(B31="Served","N/A",('Cost Basis'!E$3+('Cost Basis'!C$3*Model!D31))*(1+'Cost Basis'!F$3)))</f>
        <v>486750.00000000006</v>
      </c>
      <c r="I31" s="123" t="s">
        <v>416</v>
      </c>
      <c r="J31" s="59" t="s">
        <v>132</v>
      </c>
      <c r="K31" s="61">
        <v>81200</v>
      </c>
      <c r="L31" s="62">
        <f ca="1">IF(K31=0,"N/A",(LOOKUP(I31,'Cost Basis'!A$4:A$15,'Cost Basis'!E$4:E$15)+IF(LOOKUP(Model!I31,'Cost Basis'!A$4:A$11)=I31,LOOKUP(Model!I31,'Cost Basis'!A$4:A$11,'Cost Basis'!C$4:C$11)*Model!K31*(1+LOOKUP(I31,'Cost Basis'!A$4:A$15,'Cost Basis'!F$3:F$15)),LOOKUP(Model!I31,'Cost Basis'!A$4:A$15,'Cost Basis'!C$4:C$15)*ROUNDUP(Model!K31/5280/30,0))*(1+LOOKUP(I31,'Cost Basis'!A$4:A$15,'Cost Basis'!F$4:F$15))))</f>
        <v>4908820.0000000009</v>
      </c>
      <c r="M31" s="264">
        <f t="shared" ca="1" si="0"/>
        <v>5395570.0000000009</v>
      </c>
      <c r="N31" s="64" t="s">
        <v>949</v>
      </c>
      <c r="O31" s="253" t="s">
        <v>991</v>
      </c>
      <c r="P31" s="69"/>
      <c r="Q31" s="2">
        <f t="shared" si="2"/>
        <v>1</v>
      </c>
      <c r="R31" s="221">
        <f t="shared" si="1"/>
        <v>15.378787878787879</v>
      </c>
    </row>
    <row r="32" spans="1:18" x14ac:dyDescent="0.3">
      <c r="A32" s="80">
        <v>1.1399999999999846</v>
      </c>
      <c r="B32" s="59" t="s">
        <v>5</v>
      </c>
      <c r="C32" s="59" t="s">
        <v>141</v>
      </c>
      <c r="D32" s="118">
        <v>48</v>
      </c>
      <c r="E32" s="118">
        <v>22</v>
      </c>
      <c r="F32" s="59"/>
      <c r="G32" s="59" t="s">
        <v>415</v>
      </c>
      <c r="H32" s="60">
        <f>IF(B32="Projects","N/A",IF(B32="Served","N/A",('Cost Basis'!E$3+('Cost Basis'!C$3*Model!D32))*(1+'Cost Basis'!F$3)))</f>
        <v>561000</v>
      </c>
      <c r="I32" s="123" t="s">
        <v>412</v>
      </c>
      <c r="J32" s="59" t="s">
        <v>458</v>
      </c>
      <c r="K32" s="61">
        <v>395600</v>
      </c>
      <c r="L32" s="62">
        <f ca="1">IF(K32=0,"N/A",(LOOKUP(I32,'Cost Basis'!A$4:A$15,'Cost Basis'!E$4:E$15)+IF(LOOKUP(Model!I32,'Cost Basis'!A$4:A$11)=I32,LOOKUP(Model!I32,'Cost Basis'!A$4:A$11,'Cost Basis'!C$4:C$11)*Model!K32*(1+LOOKUP(I32,'Cost Basis'!A$4:A$15,'Cost Basis'!F$3:F$15)),LOOKUP(Model!I32,'Cost Basis'!A$4:A$15,'Cost Basis'!C$4:C$15)*ROUNDUP(Model!K32/5280/30,0))*(1+LOOKUP(I32,'Cost Basis'!A$4:A$15,'Cost Basis'!F$4:F$15))))</f>
        <v>17027632.000000004</v>
      </c>
      <c r="M32" s="264">
        <f t="shared" ca="1" si="0"/>
        <v>17588632.000000004</v>
      </c>
      <c r="N32" s="64" t="s">
        <v>950</v>
      </c>
      <c r="O32" s="253" t="s">
        <v>991</v>
      </c>
      <c r="P32" s="69"/>
      <c r="Q32" s="2">
        <f t="shared" si="2"/>
        <v>1</v>
      </c>
      <c r="R32" s="221">
        <f t="shared" si="1"/>
        <v>74.924242424242422</v>
      </c>
    </row>
    <row r="33" spans="1:18" x14ac:dyDescent="0.3">
      <c r="A33" s="80">
        <v>1.1019999999999888</v>
      </c>
      <c r="B33" s="59" t="s">
        <v>5</v>
      </c>
      <c r="C33" s="59" t="s">
        <v>103</v>
      </c>
      <c r="D33" s="118">
        <v>49</v>
      </c>
      <c r="E33" s="118">
        <v>41</v>
      </c>
      <c r="F33" s="59"/>
      <c r="G33" s="59" t="s">
        <v>415</v>
      </c>
      <c r="H33" s="60">
        <f>IF(B33="Projects","N/A",IF(B33="Served","N/A",('Cost Basis'!E$3+('Cost Basis'!C$3*Model!D33))*(1+'Cost Basis'!F$3)))</f>
        <v>569250</v>
      </c>
      <c r="I33" s="123" t="s">
        <v>412</v>
      </c>
      <c r="J33" s="59" t="s">
        <v>450</v>
      </c>
      <c r="K33" s="61">
        <v>621000</v>
      </c>
      <c r="L33" s="62">
        <f ca="1">IF(K33=0,"N/A",(LOOKUP(I33,'Cost Basis'!A$4:A$15,'Cost Basis'!E$4:E$15)+IF(LOOKUP(Model!I33,'Cost Basis'!A$4:A$11)=I33,LOOKUP(Model!I33,'Cost Basis'!A$4:A$11,'Cost Basis'!C$4:C$11)*Model!K33*(1+LOOKUP(I33,'Cost Basis'!A$4:A$15,'Cost Basis'!F$3:F$15)),LOOKUP(Model!I33,'Cost Basis'!A$4:A$15,'Cost Basis'!C$4:C$15)*ROUNDUP(Model!K33/5280/30,0))*(1+LOOKUP(I33,'Cost Basis'!A$4:A$15,'Cost Basis'!F$4:F$15))))</f>
        <v>25755120.000000004</v>
      </c>
      <c r="M33" s="264">
        <f t="shared" ca="1" si="0"/>
        <v>26324370.000000004</v>
      </c>
      <c r="N33" s="64" t="s">
        <v>951</v>
      </c>
      <c r="O33" s="253" t="s">
        <v>992</v>
      </c>
      <c r="P33" s="69"/>
      <c r="Q33" s="2">
        <f t="shared" si="2"/>
        <v>1</v>
      </c>
      <c r="R33" s="221">
        <f t="shared" si="1"/>
        <v>117.61363636363636</v>
      </c>
    </row>
    <row r="34" spans="1:18" x14ac:dyDescent="0.3">
      <c r="A34" s="80">
        <v>1.1599999999999824</v>
      </c>
      <c r="B34" s="59" t="s">
        <v>5</v>
      </c>
      <c r="C34" s="59" t="s">
        <v>161</v>
      </c>
      <c r="D34" s="118">
        <v>47</v>
      </c>
      <c r="E34" s="118">
        <v>29</v>
      </c>
      <c r="F34" s="59"/>
      <c r="G34" s="59" t="s">
        <v>415</v>
      </c>
      <c r="H34" s="60">
        <f>IF(B34="Projects","N/A",IF(B34="Served","N/A",('Cost Basis'!E$3+('Cost Basis'!C$3*Model!D34))*(1+'Cost Basis'!F$3)))</f>
        <v>552750</v>
      </c>
      <c r="I34" s="123" t="s">
        <v>674</v>
      </c>
      <c r="J34" s="59" t="s">
        <v>460</v>
      </c>
      <c r="K34" s="61">
        <v>1704800</v>
      </c>
      <c r="L34" s="62">
        <f ca="1">IF(K34=0,"N/A",(LOOKUP(I34,'Cost Basis'!A$4:A$15,'Cost Basis'!E$4:E$15)+IF(LOOKUP(Model!I34,'Cost Basis'!A$4:A$11)=I34,LOOKUP(Model!I34,'Cost Basis'!A$4:A$11,'Cost Basis'!C$4:C$11)*Model!K34*(1+LOOKUP(I34,'Cost Basis'!A$4:A$15,'Cost Basis'!F$3:F$15)),LOOKUP(Model!I34,'Cost Basis'!A$4:A$15,'Cost Basis'!C$4:C$15)*ROUNDUP(Model!K34/5280/30,0))*(1+LOOKUP(I34,'Cost Basis'!A$4:A$15,'Cost Basis'!F$4:F$15))))</f>
        <v>75971088</v>
      </c>
      <c r="M34" s="264">
        <f t="shared" ca="1" si="0"/>
        <v>76523838</v>
      </c>
      <c r="N34" s="64" t="s">
        <v>952</v>
      </c>
      <c r="O34" s="253" t="s">
        <v>992</v>
      </c>
      <c r="P34" s="69"/>
      <c r="Q34" s="2">
        <f t="shared" si="2"/>
        <v>1</v>
      </c>
      <c r="R34" s="221">
        <f t="shared" si="1"/>
        <v>322.87878787878788</v>
      </c>
    </row>
    <row r="35" spans="1:18" x14ac:dyDescent="0.3">
      <c r="A35" s="80">
        <v>1.162999999999982</v>
      </c>
      <c r="B35" s="59" t="s">
        <v>5</v>
      </c>
      <c r="C35" s="59" t="s">
        <v>164</v>
      </c>
      <c r="D35" s="118">
        <v>162</v>
      </c>
      <c r="E35" s="118">
        <v>104</v>
      </c>
      <c r="F35" s="59"/>
      <c r="G35" s="59" t="s">
        <v>415</v>
      </c>
      <c r="H35" s="60">
        <f>IF(B35="Projects","N/A",IF(B35="Served","N/A",('Cost Basis'!E$3+('Cost Basis'!C$3*Model!D35))*(1+'Cost Basis'!F$3)))</f>
        <v>1501500.0000000002</v>
      </c>
      <c r="I35" s="123" t="s">
        <v>412</v>
      </c>
      <c r="J35" s="59" t="s">
        <v>462</v>
      </c>
      <c r="K35" s="61">
        <v>235347</v>
      </c>
      <c r="L35" s="62">
        <f ca="1">IF(K35=0,"N/A",(LOOKUP(I35,'Cost Basis'!A$4:A$15,'Cost Basis'!E$4:E$15)+IF(LOOKUP(Model!I35,'Cost Basis'!A$4:A$11)=I35,LOOKUP(Model!I35,'Cost Basis'!A$4:A$11,'Cost Basis'!C$4:C$11)*Model!K35*(1+LOOKUP(I35,'Cost Basis'!A$4:A$15,'Cost Basis'!F$3:F$15)),LOOKUP(Model!I35,'Cost Basis'!A$4:A$15,'Cost Basis'!C$4:C$15)*ROUNDUP(Model!K35/5280/30,0))*(1+LOOKUP(I35,'Cost Basis'!A$4:A$15,'Cost Basis'!F$4:F$15))))</f>
        <v>10822635.840000002</v>
      </c>
      <c r="M35" s="264">
        <f t="shared" ca="1" si="0"/>
        <v>12324135.840000002</v>
      </c>
      <c r="N35" s="64" t="s">
        <v>953</v>
      </c>
      <c r="O35" s="253" t="s">
        <v>992</v>
      </c>
      <c r="P35" s="69"/>
      <c r="Q35" s="2">
        <f t="shared" si="2"/>
        <v>1</v>
      </c>
      <c r="R35" s="221">
        <f t="shared" si="1"/>
        <v>44.573295454545452</v>
      </c>
    </row>
    <row r="36" spans="1:18" x14ac:dyDescent="0.3">
      <c r="A36" s="80">
        <v>1.1069999999999882</v>
      </c>
      <c r="B36" s="59" t="s">
        <v>5</v>
      </c>
      <c r="C36" s="59" t="s">
        <v>108</v>
      </c>
      <c r="D36" s="118">
        <v>13</v>
      </c>
      <c r="E36" s="118">
        <v>6</v>
      </c>
      <c r="F36" s="59"/>
      <c r="G36" s="59" t="s">
        <v>415</v>
      </c>
      <c r="H36" s="60">
        <f>IF(B36="Projects","N/A",IF(B36="Served","N/A",('Cost Basis'!E$3+('Cost Basis'!C$3*Model!D36))*(1+'Cost Basis'!F$3)))</f>
        <v>272250</v>
      </c>
      <c r="I36" s="123" t="s">
        <v>674</v>
      </c>
      <c r="J36" s="59" t="s">
        <v>255</v>
      </c>
      <c r="K36" s="61">
        <v>772000</v>
      </c>
      <c r="L36" s="62">
        <f ca="1">IF(K36=0,"N/A",(LOOKUP(I36,'Cost Basis'!A$4:A$15,'Cost Basis'!E$4:E$15)+IF(LOOKUP(Model!I36,'Cost Basis'!A$4:A$11)=I36,LOOKUP(Model!I36,'Cost Basis'!A$4:A$11,'Cost Basis'!C$4:C$11)*Model!K36*(1+LOOKUP(I36,'Cost Basis'!A$4:A$15,'Cost Basis'!F$3:F$15)),LOOKUP(Model!I36,'Cost Basis'!A$4:A$15,'Cost Basis'!C$4:C$15)*ROUNDUP(Model!K36/5280/30,0))*(1+LOOKUP(I36,'Cost Basis'!A$4:A$15,'Cost Basis'!F$4:F$15))))</f>
        <v>35338320.000000007</v>
      </c>
      <c r="M36" s="264">
        <f t="shared" ca="1" si="0"/>
        <v>35610570.000000007</v>
      </c>
      <c r="N36" s="64" t="s">
        <v>954</v>
      </c>
      <c r="O36" s="253" t="s">
        <v>992</v>
      </c>
      <c r="P36" s="69"/>
      <c r="Q36" s="2">
        <f t="shared" si="2"/>
        <v>1</v>
      </c>
      <c r="R36" s="221">
        <f t="shared" si="1"/>
        <v>146.21212121212122</v>
      </c>
    </row>
    <row r="37" spans="1:18" x14ac:dyDescent="0.3">
      <c r="A37" s="80">
        <v>1.0009999999999999</v>
      </c>
      <c r="B37" s="59" t="s">
        <v>5</v>
      </c>
      <c r="C37" s="59" t="s">
        <v>215</v>
      </c>
      <c r="D37" s="118">
        <v>452</v>
      </c>
      <c r="E37" s="118">
        <v>51</v>
      </c>
      <c r="F37" s="59"/>
      <c r="G37" s="59" t="s">
        <v>415</v>
      </c>
      <c r="H37" s="60">
        <f>IF(B37="Projects","N/A",IF(B37="Served","N/A",('Cost Basis'!E$3+('Cost Basis'!C$3*Model!D37))*(1+'Cost Basis'!F$3)))</f>
        <v>3894000.0000000005</v>
      </c>
      <c r="I37" s="123" t="s">
        <v>674</v>
      </c>
      <c r="J37" s="59" t="s">
        <v>108</v>
      </c>
      <c r="K37" s="61">
        <v>1911400</v>
      </c>
      <c r="L37" s="62">
        <f ca="1">IF(K37=0,"N/A",(LOOKUP(I37,'Cost Basis'!A$4:A$15,'Cost Basis'!E$4:E$15)+IF(LOOKUP(Model!I37,'Cost Basis'!A$4:A$11)=I37,LOOKUP(Model!I37,'Cost Basis'!A$4:A$11,'Cost Basis'!C$4:C$11)*Model!K37*(1+LOOKUP(I37,'Cost Basis'!A$4:A$15,'Cost Basis'!F$3:F$15)),LOOKUP(Model!I37,'Cost Basis'!A$4:A$15,'Cost Basis'!C$4:C$15)*ROUNDUP(Model!K37/5280/30,0))*(1+LOOKUP(I37,'Cost Basis'!A$4:A$15,'Cost Basis'!F$4:F$15))))</f>
        <v>84970584</v>
      </c>
      <c r="M37" s="264">
        <f t="shared" ca="1" si="0"/>
        <v>88864584</v>
      </c>
      <c r="N37" s="63" t="s">
        <v>955</v>
      </c>
      <c r="O37" s="253" t="s">
        <v>992</v>
      </c>
      <c r="P37" s="68"/>
      <c r="Q37" s="2">
        <f t="shared" si="2"/>
        <v>1</v>
      </c>
      <c r="R37" s="221">
        <f t="shared" si="1"/>
        <v>362.00757575757575</v>
      </c>
    </row>
    <row r="38" spans="1:18" x14ac:dyDescent="0.3">
      <c r="A38" s="80">
        <v>1.0099999999999989</v>
      </c>
      <c r="B38" s="59" t="s">
        <v>5</v>
      </c>
      <c r="C38" s="59" t="s">
        <v>15</v>
      </c>
      <c r="D38" s="118">
        <v>16</v>
      </c>
      <c r="E38" s="118">
        <v>9</v>
      </c>
      <c r="F38" s="59"/>
      <c r="G38" s="59" t="s">
        <v>415</v>
      </c>
      <c r="H38" s="60">
        <f>IF(B38="Projects","N/A",IF(B38="Served","N/A",('Cost Basis'!E$3+('Cost Basis'!C$3*Model!D38))*(1+'Cost Basis'!F$3)))</f>
        <v>297000</v>
      </c>
      <c r="I38" s="123" t="s">
        <v>412</v>
      </c>
      <c r="J38" s="59" t="s">
        <v>460</v>
      </c>
      <c r="K38" s="61">
        <v>354900</v>
      </c>
      <c r="L38" s="62">
        <f ca="1">IF(K38=0,"N/A",(LOOKUP(I38,'Cost Basis'!A$4:A$15,'Cost Basis'!E$4:E$15)+IF(LOOKUP(Model!I38,'Cost Basis'!A$4:A$11)=I38,LOOKUP(Model!I38,'Cost Basis'!A$4:A$11,'Cost Basis'!C$4:C$11)*Model!K38*(1+LOOKUP(I38,'Cost Basis'!A$4:A$15,'Cost Basis'!F$3:F$15)),LOOKUP(Model!I38,'Cost Basis'!A$4:A$15,'Cost Basis'!C$4:C$15)*ROUNDUP(Model!K38/5280/30,0))*(1+LOOKUP(I38,'Cost Basis'!A$4:A$15,'Cost Basis'!F$4:F$15))))</f>
        <v>15451728.000000004</v>
      </c>
      <c r="M38" s="264">
        <f t="shared" ca="1" si="0"/>
        <v>15748728.000000004</v>
      </c>
      <c r="N38" s="64" t="s">
        <v>956</v>
      </c>
      <c r="O38" s="253" t="s">
        <v>992</v>
      </c>
      <c r="P38" s="69"/>
      <c r="Q38" s="2">
        <f t="shared" si="2"/>
        <v>1</v>
      </c>
      <c r="R38" s="221">
        <f t="shared" si="1"/>
        <v>67.215909090909093</v>
      </c>
    </row>
    <row r="39" spans="1:18" x14ac:dyDescent="0.3">
      <c r="A39" s="80">
        <v>1.0699999999999923</v>
      </c>
      <c r="B39" s="59" t="s">
        <v>5</v>
      </c>
      <c r="C39" s="59" t="s">
        <v>72</v>
      </c>
      <c r="D39" s="118">
        <v>15</v>
      </c>
      <c r="E39" s="118">
        <v>0</v>
      </c>
      <c r="F39" s="59"/>
      <c r="G39" s="59" t="s">
        <v>415</v>
      </c>
      <c r="H39" s="60">
        <f>IF(B39="Projects","N/A",IF(B39="Served","N/A",('Cost Basis'!E$3+('Cost Basis'!C$3*Model!D39))*(1+'Cost Basis'!F$3)))</f>
        <v>288750</v>
      </c>
      <c r="I39" s="123" t="s">
        <v>412</v>
      </c>
      <c r="J39" s="59" t="s">
        <v>443</v>
      </c>
      <c r="K39" s="61">
        <v>133000</v>
      </c>
      <c r="L39" s="62">
        <f ca="1">IF(K39=0,"N/A",(LOOKUP(I39,'Cost Basis'!A$4:A$15,'Cost Basis'!E$4:E$15)+IF(LOOKUP(Model!I39,'Cost Basis'!A$4:A$11)=I39,LOOKUP(Model!I39,'Cost Basis'!A$4:A$11,'Cost Basis'!C$4:C$11)*Model!K39*(1+LOOKUP(I39,'Cost Basis'!A$4:A$15,'Cost Basis'!F$3:F$15)),LOOKUP(Model!I39,'Cost Basis'!A$4:A$15,'Cost Basis'!C$4:C$15)*ROUNDUP(Model!K39/5280/30,0))*(1+LOOKUP(I39,'Cost Basis'!A$4:A$15,'Cost Basis'!F$4:F$15))))</f>
        <v>6859760</v>
      </c>
      <c r="M39" s="264">
        <f t="shared" ca="1" si="0"/>
        <v>7148510</v>
      </c>
      <c r="N39" s="64" t="s">
        <v>957</v>
      </c>
      <c r="O39" s="253" t="s">
        <v>991</v>
      </c>
      <c r="P39" s="69"/>
      <c r="Q39" s="2">
        <f t="shared" si="2"/>
        <v>1</v>
      </c>
      <c r="R39" s="221">
        <f t="shared" si="1"/>
        <v>25.189393939393938</v>
      </c>
    </row>
    <row r="40" spans="1:18" x14ac:dyDescent="0.3">
      <c r="A40" s="80">
        <v>1.1919999999999789</v>
      </c>
      <c r="B40" s="59" t="s">
        <v>5</v>
      </c>
      <c r="C40" s="59" t="s">
        <v>192</v>
      </c>
      <c r="D40" s="118">
        <v>36</v>
      </c>
      <c r="E40" s="118"/>
      <c r="F40" s="59"/>
      <c r="G40" s="59" t="s">
        <v>415</v>
      </c>
      <c r="H40" s="60">
        <f>IF(B40="Projects","N/A",IF(B40="Served","N/A",('Cost Basis'!E$3+('Cost Basis'!C$3*Model!D40))*(1+'Cost Basis'!F$3)))</f>
        <v>462000.00000000006</v>
      </c>
      <c r="I40" s="123" t="s">
        <v>412</v>
      </c>
      <c r="J40" s="59" t="s">
        <v>253</v>
      </c>
      <c r="K40" s="61">
        <f>44000+4000</f>
        <v>48000</v>
      </c>
      <c r="L40" s="62">
        <f ca="1">IF(K40=0,"N/A",(LOOKUP(I40,'Cost Basis'!A$4:A$15,'Cost Basis'!E$4:E$15)+IF(LOOKUP(Model!I40,'Cost Basis'!A$4:A$11)=I40,LOOKUP(Model!I40,'Cost Basis'!A$4:A$11,'Cost Basis'!C$4:C$11)*Model!K40*(1+LOOKUP(I40,'Cost Basis'!A$4:A$15,'Cost Basis'!F$3:F$15)),LOOKUP(Model!I40,'Cost Basis'!A$4:A$15,'Cost Basis'!C$4:C$15)*ROUNDUP(Model!K40/5280/30,0))*(1+LOOKUP(I40,'Cost Basis'!A$4:A$15,'Cost Basis'!F$4:F$15))))</f>
        <v>3568560.0000000005</v>
      </c>
      <c r="M40" s="264">
        <f t="shared" ca="1" si="0"/>
        <v>4030560.0000000005</v>
      </c>
      <c r="N40" s="64" t="s">
        <v>538</v>
      </c>
      <c r="O40" s="253" t="s">
        <v>342</v>
      </c>
      <c r="P40" s="69" t="s">
        <v>961</v>
      </c>
      <c r="Q40" s="2">
        <f t="shared" si="2"/>
        <v>1</v>
      </c>
      <c r="R40" s="221">
        <f t="shared" si="1"/>
        <v>9.0909090909090917</v>
      </c>
    </row>
    <row r="41" spans="1:18" x14ac:dyDescent="0.3">
      <c r="A41" s="80">
        <v>1.072999999999992</v>
      </c>
      <c r="B41" s="59" t="s">
        <v>5</v>
      </c>
      <c r="C41" s="59" t="s">
        <v>75</v>
      </c>
      <c r="D41" s="118">
        <v>27</v>
      </c>
      <c r="E41" s="118">
        <v>15</v>
      </c>
      <c r="F41" s="59"/>
      <c r="G41" s="59" t="s">
        <v>415</v>
      </c>
      <c r="H41" s="60">
        <f>IF(B41="Projects","N/A",IF(B41="Served","N/A",('Cost Basis'!E$3+('Cost Basis'!C$3*Model!D41))*(1+'Cost Basis'!F$3)))</f>
        <v>387750.00000000006</v>
      </c>
      <c r="I41" s="123" t="s">
        <v>412</v>
      </c>
      <c r="J41" s="59" t="s">
        <v>192</v>
      </c>
      <c r="K41" s="61">
        <v>122000</v>
      </c>
      <c r="L41" s="62">
        <f ca="1">IF(K41=0,"N/A",(LOOKUP(I41,'Cost Basis'!A$4:A$15,'Cost Basis'!E$4:E$15)+IF(LOOKUP(Model!I41,'Cost Basis'!A$4:A$11)=I41,LOOKUP(Model!I41,'Cost Basis'!A$4:A$11,'Cost Basis'!C$4:C$11)*Model!K41*(1+LOOKUP(I41,'Cost Basis'!A$4:A$15,'Cost Basis'!F$3:F$15)),LOOKUP(Model!I41,'Cost Basis'!A$4:A$15,'Cost Basis'!C$4:C$15)*ROUNDUP(Model!K41/5280/30,0))*(1+LOOKUP(I41,'Cost Basis'!A$4:A$15,'Cost Basis'!F$4:F$15))))</f>
        <v>6433840</v>
      </c>
      <c r="M41" s="264">
        <f t="shared" ca="1" si="0"/>
        <v>6821590</v>
      </c>
      <c r="N41" s="64" t="s">
        <v>548</v>
      </c>
      <c r="O41" s="253" t="s">
        <v>342</v>
      </c>
      <c r="P41" s="69"/>
      <c r="Q41" s="2">
        <f t="shared" si="2"/>
        <v>1</v>
      </c>
      <c r="R41" s="221">
        <f t="shared" si="1"/>
        <v>23.106060606060606</v>
      </c>
    </row>
    <row r="42" spans="1:18" x14ac:dyDescent="0.3">
      <c r="A42" s="80">
        <v>1.19999999999998</v>
      </c>
      <c r="B42" s="59" t="s">
        <v>5</v>
      </c>
      <c r="C42" s="59" t="s">
        <v>200</v>
      </c>
      <c r="D42" s="118">
        <v>269</v>
      </c>
      <c r="E42" s="118">
        <v>251</v>
      </c>
      <c r="F42" s="59"/>
      <c r="G42" s="59" t="s">
        <v>415</v>
      </c>
      <c r="H42" s="60">
        <f>IF(B42="Projects","N/A",IF(B42="Served","N/A",('Cost Basis'!E$3+('Cost Basis'!C$3*Model!D42))*(1+'Cost Basis'!F$3)))</f>
        <v>2384250</v>
      </c>
      <c r="I42" s="124" t="s">
        <v>442</v>
      </c>
      <c r="J42" s="88" t="s">
        <v>403</v>
      </c>
      <c r="K42" s="61">
        <v>0</v>
      </c>
      <c r="L42" s="62" t="str">
        <f>IF(K42=0,"N/A",(LOOKUP(I42,'Cost Basis'!A$4:A$15,'Cost Basis'!E$4:E$15)+IF(LOOKUP(Model!I42,'Cost Basis'!A$4:A$11)=I42,LOOKUP(Model!I42,'Cost Basis'!A$4:A$11,'Cost Basis'!C$4:C$11)*Model!K42*(1+LOOKUP(I42,'Cost Basis'!A$4:A$15,'Cost Basis'!F$3:F$15)),LOOKUP(Model!I42,'Cost Basis'!A$4:A$15,'Cost Basis'!C$4:C$15)*ROUNDUP(Model!K42/5280/30,0))*(1+LOOKUP(I42,'Cost Basis'!A$4:A$15,'Cost Basis'!F$4:F$15))))</f>
        <v>N/A</v>
      </c>
      <c r="M42" s="264">
        <f t="shared" ref="M42" si="3">IF(L42="N/A",H42,H42+L42)</f>
        <v>2384250</v>
      </c>
      <c r="N42" s="64" t="s">
        <v>651</v>
      </c>
      <c r="O42" s="253" t="s">
        <v>342</v>
      </c>
      <c r="P42" s="69"/>
      <c r="Q42" s="2">
        <f t="shared" si="2"/>
        <v>1</v>
      </c>
      <c r="R42" s="221">
        <f t="shared" si="1"/>
        <v>0</v>
      </c>
    </row>
    <row r="43" spans="1:18" x14ac:dyDescent="0.3">
      <c r="A43" s="80">
        <v>1.0259999999999971</v>
      </c>
      <c r="B43" s="59" t="s">
        <v>5</v>
      </c>
      <c r="C43" s="59" t="s">
        <v>29</v>
      </c>
      <c r="D43" s="118">
        <v>30</v>
      </c>
      <c r="E43" s="118">
        <v>24</v>
      </c>
      <c r="F43" s="59"/>
      <c r="G43" s="59" t="s">
        <v>415</v>
      </c>
      <c r="H43" s="60">
        <f>IF(B43="Projects","N/A",IF(B43="Served","N/A",('Cost Basis'!E$3+('Cost Basis'!C$3*Model!D43))*(1+'Cost Basis'!F$3)))</f>
        <v>412500.00000000006</v>
      </c>
      <c r="I43" s="123" t="s">
        <v>411</v>
      </c>
      <c r="J43" s="59" t="s">
        <v>424</v>
      </c>
      <c r="K43" s="61">
        <v>146055</v>
      </c>
      <c r="L43" s="62">
        <f ca="1">IF(K43=0,"N/A",(LOOKUP(I43,'Cost Basis'!A$4:A$15,'Cost Basis'!E$4:E$15)+IF(LOOKUP(Model!I43,'Cost Basis'!A$4:A$11)=I43,LOOKUP(Model!I43,'Cost Basis'!A$4:A$11,'Cost Basis'!C$4:C$11)*Model!K43*(1+LOOKUP(I43,'Cost Basis'!A$4:A$15,'Cost Basis'!F$3:F$15)),LOOKUP(Model!I43,'Cost Basis'!A$4:A$15,'Cost Basis'!C$4:C$15)*ROUNDUP(Model!K43/5280/30,0))*(1+LOOKUP(I43,'Cost Basis'!A$4:A$15,'Cost Basis'!F$4:F$15))))</f>
        <v>7685429.2500000009</v>
      </c>
      <c r="M43" s="264">
        <f t="shared" ref="M43:M78" ca="1" si="4">IF(L43="N/A",H43,H43+L43)</f>
        <v>8097929.2500000009</v>
      </c>
      <c r="N43" s="64" t="s">
        <v>600</v>
      </c>
      <c r="O43" s="253" t="s">
        <v>342</v>
      </c>
      <c r="P43" s="69"/>
      <c r="Q43" s="2">
        <f t="shared" si="2"/>
        <v>1</v>
      </c>
      <c r="R43" s="221">
        <f t="shared" si="1"/>
        <v>27.661931818181817</v>
      </c>
    </row>
    <row r="44" spans="1:18" x14ac:dyDescent="0.3">
      <c r="A44" s="80">
        <v>1.1259999999999861</v>
      </c>
      <c r="B44" s="59" t="s">
        <v>5</v>
      </c>
      <c r="C44" s="59" t="s">
        <v>127</v>
      </c>
      <c r="D44" s="118">
        <v>35</v>
      </c>
      <c r="E44" s="118">
        <v>20</v>
      </c>
      <c r="F44" s="59"/>
      <c r="G44" s="59" t="s">
        <v>415</v>
      </c>
      <c r="H44" s="60">
        <f>IF(B44="Projects","N/A",IF(B44="Served","N/A",('Cost Basis'!E$3+('Cost Basis'!C$3*Model!D44))*(1+'Cost Basis'!F$3)))</f>
        <v>453750.00000000006</v>
      </c>
      <c r="I44" s="123" t="s">
        <v>414</v>
      </c>
      <c r="J44" s="59" t="s">
        <v>453</v>
      </c>
      <c r="K44" s="61">
        <v>44600</v>
      </c>
      <c r="L44" s="62">
        <f ca="1">IF(K44=0,"N/A",(LOOKUP(I44,'Cost Basis'!A$4:A$15,'Cost Basis'!E$4:E$15)+IF(LOOKUP(Model!I44,'Cost Basis'!A$4:A$11)=I44,LOOKUP(Model!I44,'Cost Basis'!A$4:A$11,'Cost Basis'!C$4:C$11)*Model!K44*(1+LOOKUP(I44,'Cost Basis'!A$4:A$15,'Cost Basis'!F$3:F$15)),LOOKUP(Model!I44,'Cost Basis'!A$4:A$15,'Cost Basis'!C$4:C$15)*ROUNDUP(Model!K44/5280/30,0))*(1+LOOKUP(I44,'Cost Basis'!A$4:A$15,'Cost Basis'!F$4:F$15))))</f>
        <v>2705184</v>
      </c>
      <c r="M44" s="264">
        <f t="shared" ca="1" si="4"/>
        <v>3158934</v>
      </c>
      <c r="N44" s="64" t="s">
        <v>532</v>
      </c>
      <c r="O44" s="253" t="s">
        <v>342</v>
      </c>
      <c r="P44" s="69"/>
      <c r="Q44" s="2">
        <f t="shared" si="2"/>
        <v>1</v>
      </c>
      <c r="R44" s="221">
        <f t="shared" si="1"/>
        <v>8.4469696969696972</v>
      </c>
    </row>
    <row r="45" spans="1:18" x14ac:dyDescent="0.3">
      <c r="A45" s="80">
        <v>1.1149999999999873</v>
      </c>
      <c r="B45" s="59" t="s">
        <v>5</v>
      </c>
      <c r="C45" s="59" t="s">
        <v>116</v>
      </c>
      <c r="D45" s="118">
        <v>121</v>
      </c>
      <c r="E45" s="118">
        <v>90</v>
      </c>
      <c r="F45" s="59"/>
      <c r="G45" s="59" t="s">
        <v>415</v>
      </c>
      <c r="H45" s="60">
        <f>IF(B45="Projects","N/A",IF(B45="Served","N/A",('Cost Basis'!E$3+('Cost Basis'!C$3*Model!D45))*(1+'Cost Basis'!F$3)))</f>
        <v>1163250</v>
      </c>
      <c r="I45" s="123" t="s">
        <v>412</v>
      </c>
      <c r="J45" s="59" t="s">
        <v>453</v>
      </c>
      <c r="K45" s="61">
        <v>250900</v>
      </c>
      <c r="L45" s="62">
        <f ca="1">IF(K45=0,"N/A",(LOOKUP(I45,'Cost Basis'!A$4:A$15,'Cost Basis'!E$4:E$15)+IF(LOOKUP(Model!I45,'Cost Basis'!A$4:A$11)=I45,LOOKUP(Model!I45,'Cost Basis'!A$4:A$11,'Cost Basis'!C$4:C$11)*Model!K45*(1+LOOKUP(I45,'Cost Basis'!A$4:A$15,'Cost Basis'!F$3:F$15)),LOOKUP(Model!I45,'Cost Basis'!A$4:A$15,'Cost Basis'!C$4:C$15)*ROUNDUP(Model!K45/5280/30,0))*(1+LOOKUP(I45,'Cost Basis'!A$4:A$15,'Cost Basis'!F$4:F$15))))</f>
        <v>11424848</v>
      </c>
      <c r="M45" s="264">
        <f t="shared" ca="1" si="4"/>
        <v>12588098</v>
      </c>
      <c r="N45" s="64" t="s">
        <v>553</v>
      </c>
      <c r="O45" s="253" t="s">
        <v>342</v>
      </c>
      <c r="P45" s="69"/>
      <c r="Q45" s="2">
        <f t="shared" si="2"/>
        <v>1</v>
      </c>
      <c r="R45" s="221">
        <f t="shared" si="1"/>
        <v>47.518939393939391</v>
      </c>
    </row>
    <row r="46" spans="1:18" x14ac:dyDescent="0.3">
      <c r="A46" s="80">
        <v>1.0019999999999998</v>
      </c>
      <c r="B46" s="59" t="s">
        <v>5</v>
      </c>
      <c r="C46" s="59" t="s">
        <v>6</v>
      </c>
      <c r="D46" s="118">
        <v>44</v>
      </c>
      <c r="E46" s="118">
        <v>31</v>
      </c>
      <c r="F46" s="59"/>
      <c r="G46" s="59" t="s">
        <v>415</v>
      </c>
      <c r="H46" s="60">
        <f>IF(B46="Projects","N/A",IF(B46="Served","N/A",('Cost Basis'!E$3+('Cost Basis'!C$3*Model!D46))*(1+'Cost Basis'!F$3)))</f>
        <v>528000</v>
      </c>
      <c r="I46" s="123" t="s">
        <v>412</v>
      </c>
      <c r="J46" s="59" t="s">
        <v>116</v>
      </c>
      <c r="K46" s="61">
        <v>461000</v>
      </c>
      <c r="L46" s="62">
        <f ca="1">IF(K46=0,"N/A",(LOOKUP(I46,'Cost Basis'!A$4:A$15,'Cost Basis'!E$4:E$15)+IF(LOOKUP(Model!I46,'Cost Basis'!A$4:A$11)=I46,LOOKUP(Model!I46,'Cost Basis'!A$4:A$11,'Cost Basis'!C$4:C$11)*Model!K46*(1+LOOKUP(I46,'Cost Basis'!A$4:A$15,'Cost Basis'!F$3:F$15)),LOOKUP(Model!I46,'Cost Basis'!A$4:A$15,'Cost Basis'!C$4:C$15)*ROUNDUP(Model!K46/5280/30,0))*(1+LOOKUP(I46,'Cost Basis'!A$4:A$15,'Cost Basis'!F$4:F$15))))</f>
        <v>19559920.000000004</v>
      </c>
      <c r="M46" s="264">
        <f t="shared" ca="1" si="4"/>
        <v>20087920.000000004</v>
      </c>
      <c r="N46" s="64" t="s">
        <v>557</v>
      </c>
      <c r="O46" s="253" t="s">
        <v>342</v>
      </c>
      <c r="P46" s="69"/>
      <c r="Q46" s="2">
        <f t="shared" si="2"/>
        <v>1</v>
      </c>
      <c r="R46" s="221">
        <f t="shared" si="1"/>
        <v>87.310606060606062</v>
      </c>
    </row>
    <row r="47" spans="1:18" x14ac:dyDescent="0.3">
      <c r="A47" s="80">
        <v>1.0759999999999916</v>
      </c>
      <c r="B47" s="59" t="s">
        <v>5</v>
      </c>
      <c r="C47" s="59" t="s">
        <v>78</v>
      </c>
      <c r="D47" s="118">
        <v>107</v>
      </c>
      <c r="E47" s="118">
        <v>91</v>
      </c>
      <c r="F47" s="59"/>
      <c r="G47" s="59" t="s">
        <v>415</v>
      </c>
      <c r="H47" s="60">
        <f>IF(B47="Projects","N/A",IF(B47="Served","N/A",('Cost Basis'!E$3+('Cost Basis'!C$3*Model!D47))*(1+'Cost Basis'!F$3)))</f>
        <v>1047750.0000000001</v>
      </c>
      <c r="I47" s="123" t="s">
        <v>421</v>
      </c>
      <c r="J47" s="59" t="s">
        <v>278</v>
      </c>
      <c r="K47" s="61">
        <v>193313</v>
      </c>
      <c r="L47" s="62">
        <f ca="1">IF(K47=0,"N/A",(LOOKUP(I47,'Cost Basis'!A$4:A$15,'Cost Basis'!E$4:E$15)+IF(LOOKUP(Model!I47,'Cost Basis'!A$4:A$11)=I47,LOOKUP(Model!I47,'Cost Basis'!A$4:A$11,'Cost Basis'!C$4:C$11)*Model!K47*(1+LOOKUP(I47,'Cost Basis'!A$4:A$15,'Cost Basis'!F$3:F$15)),LOOKUP(Model!I47,'Cost Basis'!A$4:A$15,'Cost Basis'!C$4:C$15)*ROUNDUP(Model!K47/5280/30,0))*(1+LOOKUP(I47,'Cost Basis'!A$4:A$15,'Cost Basis'!F$4:F$15))))</f>
        <v>8029444.4400000013</v>
      </c>
      <c r="M47" s="264">
        <f t="shared" ca="1" si="4"/>
        <v>9077194.4400000013</v>
      </c>
      <c r="N47" s="64" t="s">
        <v>526</v>
      </c>
      <c r="O47" s="253" t="s">
        <v>990</v>
      </c>
      <c r="P47" s="69"/>
      <c r="Q47" s="2">
        <f t="shared" si="2"/>
        <v>1</v>
      </c>
      <c r="R47" s="221">
        <f t="shared" si="1"/>
        <v>36.612310606060603</v>
      </c>
    </row>
    <row r="48" spans="1:18" x14ac:dyDescent="0.3">
      <c r="A48" s="80">
        <v>1.0799999999999912</v>
      </c>
      <c r="B48" s="59" t="s">
        <v>5</v>
      </c>
      <c r="C48" s="59" t="s">
        <v>82</v>
      </c>
      <c r="D48" s="118">
        <v>102</v>
      </c>
      <c r="E48" s="118">
        <v>82</v>
      </c>
      <c r="F48" s="59"/>
      <c r="G48" s="59" t="s">
        <v>415</v>
      </c>
      <c r="H48" s="60">
        <f>IF(B48="Projects","N/A",IF(B48="Served","N/A",('Cost Basis'!E$3+('Cost Basis'!C$3*Model!D48))*(1+'Cost Basis'!F$3)))</f>
        <v>1006500.0000000001</v>
      </c>
      <c r="I48" s="123" t="s">
        <v>416</v>
      </c>
      <c r="J48" s="59" t="s">
        <v>78</v>
      </c>
      <c r="K48" s="61">
        <v>83200</v>
      </c>
      <c r="L48" s="62">
        <f ca="1">IF(K48=0,"N/A",(LOOKUP(I48,'Cost Basis'!A$4:A$15,'Cost Basis'!E$4:E$15)+IF(LOOKUP(Model!I48,'Cost Basis'!A$4:A$11)=I48,LOOKUP(Model!I48,'Cost Basis'!A$4:A$11,'Cost Basis'!C$4:C$11)*Model!K48*(1+LOOKUP(I48,'Cost Basis'!A$4:A$15,'Cost Basis'!F$3:F$15)),LOOKUP(Model!I48,'Cost Basis'!A$4:A$15,'Cost Basis'!C$4:C$15)*ROUNDUP(Model!K48/5280/30,0))*(1+LOOKUP(I48,'Cost Basis'!A$4:A$15,'Cost Basis'!F$4:F$15))))</f>
        <v>4993520.0000000009</v>
      </c>
      <c r="M48" s="264">
        <f t="shared" ca="1" si="4"/>
        <v>6000020.0000000009</v>
      </c>
      <c r="N48" s="64" t="s">
        <v>549</v>
      </c>
      <c r="O48" s="253" t="s">
        <v>990</v>
      </c>
      <c r="P48" s="69"/>
      <c r="Q48" s="2">
        <f t="shared" si="2"/>
        <v>1</v>
      </c>
      <c r="R48" s="221">
        <f t="shared" si="1"/>
        <v>15.757575757575758</v>
      </c>
    </row>
    <row r="49" spans="1:18" x14ac:dyDescent="0.3">
      <c r="A49" s="80">
        <v>1.0739999999999919</v>
      </c>
      <c r="B49" s="59" t="s">
        <v>5</v>
      </c>
      <c r="C49" s="59" t="s">
        <v>76</v>
      </c>
      <c r="D49" s="118">
        <v>121</v>
      </c>
      <c r="E49" s="118">
        <v>96</v>
      </c>
      <c r="F49" s="59"/>
      <c r="G49" s="59" t="s">
        <v>415</v>
      </c>
      <c r="H49" s="60">
        <f>IF(B49="Projects","N/A",IF(B49="Served","N/A",('Cost Basis'!E$3+('Cost Basis'!C$3*Model!D49))*(1+'Cost Basis'!F$3)))</f>
        <v>1163250</v>
      </c>
      <c r="I49" s="123" t="s">
        <v>421</v>
      </c>
      <c r="J49" s="59" t="s">
        <v>82</v>
      </c>
      <c r="K49" s="61">
        <v>198800</v>
      </c>
      <c r="L49" s="62">
        <f ca="1">IF(K49=0,"N/A",(LOOKUP(I49,'Cost Basis'!A$4:A$15,'Cost Basis'!E$4:E$15)+IF(LOOKUP(Model!I49,'Cost Basis'!A$4:A$11)=I49,LOOKUP(Model!I49,'Cost Basis'!A$4:A$11,'Cost Basis'!C$4:C$11)*Model!K49*(1+LOOKUP(I49,'Cost Basis'!A$4:A$15,'Cost Basis'!F$3:F$15)),LOOKUP(Model!I49,'Cost Basis'!A$4:A$15,'Cost Basis'!C$4:C$15)*ROUNDUP(Model!K49/5280/30,0))*(1+LOOKUP(I49,'Cost Basis'!A$4:A$15,'Cost Basis'!F$4:F$15))))</f>
        <v>8215344.0000000019</v>
      </c>
      <c r="M49" s="264">
        <f t="shared" ca="1" si="4"/>
        <v>9378594.0000000019</v>
      </c>
      <c r="N49" s="64" t="s">
        <v>565</v>
      </c>
      <c r="O49" s="253" t="s">
        <v>990</v>
      </c>
      <c r="P49" s="69"/>
      <c r="Q49" s="2">
        <f t="shared" si="2"/>
        <v>1</v>
      </c>
      <c r="R49" s="221">
        <f t="shared" si="1"/>
        <v>37.651515151515149</v>
      </c>
    </row>
    <row r="50" spans="1:18" x14ac:dyDescent="0.3">
      <c r="A50" s="80">
        <v>1.0219999999999976</v>
      </c>
      <c r="B50" s="59" t="s">
        <v>5</v>
      </c>
      <c r="C50" s="59" t="s">
        <v>25</v>
      </c>
      <c r="D50" s="118">
        <v>87</v>
      </c>
      <c r="E50" s="118">
        <v>75</v>
      </c>
      <c r="F50" s="59"/>
      <c r="G50" s="59" t="s">
        <v>415</v>
      </c>
      <c r="H50" s="60">
        <f>IF(B50="Projects","N/A",IF(B50="Served","N/A",('Cost Basis'!E$3+('Cost Basis'!C$3*Model!D50))*(1+'Cost Basis'!F$3)))</f>
        <v>882750.00000000012</v>
      </c>
      <c r="I50" s="123" t="s">
        <v>421</v>
      </c>
      <c r="J50" s="59" t="s">
        <v>76</v>
      </c>
      <c r="K50" s="61">
        <v>101000</v>
      </c>
      <c r="L50" s="62">
        <f ca="1">IF(K50=0,"N/A",(LOOKUP(I50,'Cost Basis'!A$4:A$15,'Cost Basis'!E$4:E$15)+IF(LOOKUP(Model!I50,'Cost Basis'!A$4:A$11)=I50,LOOKUP(Model!I50,'Cost Basis'!A$4:A$11,'Cost Basis'!C$4:C$11)*Model!K50*(1+LOOKUP(I50,'Cost Basis'!A$4:A$15,'Cost Basis'!F$3:F$15)),LOOKUP(Model!I50,'Cost Basis'!A$4:A$15,'Cost Basis'!C$4:C$15)*ROUNDUP(Model!K50/5280/30,0))*(1+LOOKUP(I50,'Cost Basis'!A$4:A$15,'Cost Basis'!F$4:F$15))))</f>
        <v>4901880.0000000009</v>
      </c>
      <c r="M50" s="264">
        <f t="shared" ca="1" si="4"/>
        <v>5784630.0000000009</v>
      </c>
      <c r="N50" s="64" t="s">
        <v>570</v>
      </c>
      <c r="O50" s="253" t="s">
        <v>990</v>
      </c>
      <c r="P50" s="69"/>
      <c r="Q50" s="2">
        <f t="shared" si="2"/>
        <v>1</v>
      </c>
      <c r="R50" s="221">
        <f t="shared" si="1"/>
        <v>19.128787878787879</v>
      </c>
    </row>
    <row r="51" spans="1:18" x14ac:dyDescent="0.3">
      <c r="A51" s="80">
        <v>1.0059999999999993</v>
      </c>
      <c r="B51" s="59" t="s">
        <v>5</v>
      </c>
      <c r="C51" s="59" t="s">
        <v>10</v>
      </c>
      <c r="D51" s="118">
        <v>225</v>
      </c>
      <c r="E51" s="118">
        <v>148</v>
      </c>
      <c r="F51" s="59"/>
      <c r="G51" s="59" t="s">
        <v>415</v>
      </c>
      <c r="H51" s="60">
        <f>IF(B51="Projects","N/A",IF(B51="Served","N/A",('Cost Basis'!E$3+('Cost Basis'!C$3*Model!D51))*(1+'Cost Basis'!F$3)))</f>
        <v>2021250.0000000002</v>
      </c>
      <c r="I51" s="123" t="s">
        <v>416</v>
      </c>
      <c r="J51" s="59" t="s">
        <v>220</v>
      </c>
      <c r="K51" s="61">
        <v>171200</v>
      </c>
      <c r="L51" s="62">
        <f ca="1">IF(K51=0,"N/A",(LOOKUP(I51,'Cost Basis'!A$4:A$15,'Cost Basis'!E$4:E$15)+IF(LOOKUP(Model!I51,'Cost Basis'!A$4:A$11)=I51,LOOKUP(Model!I51,'Cost Basis'!A$4:A$11,'Cost Basis'!C$4:C$11)*Model!K51*(1+LOOKUP(I51,'Cost Basis'!A$4:A$15,'Cost Basis'!F$3:F$15)),LOOKUP(Model!I51,'Cost Basis'!A$4:A$15,'Cost Basis'!C$4:C$15)*ROUNDUP(Model!K51/5280/30,0))*(1+LOOKUP(I51,'Cost Basis'!A$4:A$15,'Cost Basis'!F$4:F$15))))</f>
        <v>8720320.0000000019</v>
      </c>
      <c r="M51" s="264">
        <f t="shared" ca="1" si="4"/>
        <v>10741570.000000002</v>
      </c>
      <c r="N51" s="64" t="s">
        <v>517</v>
      </c>
      <c r="O51" s="253" t="s">
        <v>990</v>
      </c>
      <c r="P51" s="69"/>
      <c r="Q51" s="2">
        <f t="shared" si="2"/>
        <v>1</v>
      </c>
      <c r="R51" s="221">
        <f t="shared" si="1"/>
        <v>32.424242424242422</v>
      </c>
    </row>
    <row r="52" spans="1:18" x14ac:dyDescent="0.3">
      <c r="A52" s="80">
        <v>1.0289999999999968</v>
      </c>
      <c r="B52" s="59" t="s">
        <v>5</v>
      </c>
      <c r="C52" s="59" t="s">
        <v>32</v>
      </c>
      <c r="D52" s="118">
        <v>41</v>
      </c>
      <c r="E52" s="118">
        <v>28</v>
      </c>
      <c r="F52" s="59"/>
      <c r="G52" s="59" t="s">
        <v>415</v>
      </c>
      <c r="H52" s="60">
        <f>IF(B52="Projects","N/A",IF(B52="Served","N/A",('Cost Basis'!E$3+('Cost Basis'!C$3*Model!D52))*(1+'Cost Basis'!F$3)))</f>
        <v>503250.00000000006</v>
      </c>
      <c r="I52" s="123" t="s">
        <v>416</v>
      </c>
      <c r="J52" s="59" t="s">
        <v>10</v>
      </c>
      <c r="K52" s="61">
        <v>59800</v>
      </c>
      <c r="L52" s="62">
        <f ca="1">IF(K52=0,"N/A",(LOOKUP(I52,'Cost Basis'!A$4:A$15,'Cost Basis'!E$4:E$15)+IF(LOOKUP(Model!I52,'Cost Basis'!A$4:A$11)=I52,LOOKUP(Model!I52,'Cost Basis'!A$4:A$11,'Cost Basis'!C$4:C$11)*Model!K52*(1+LOOKUP(I52,'Cost Basis'!A$4:A$15,'Cost Basis'!F$3:F$15)),LOOKUP(Model!I52,'Cost Basis'!A$4:A$15,'Cost Basis'!C$4:C$15)*ROUNDUP(Model!K52/5280/30,0))*(1+LOOKUP(I52,'Cost Basis'!A$4:A$15,'Cost Basis'!F$4:F$15))))</f>
        <v>4002530</v>
      </c>
      <c r="M52" s="264">
        <f t="shared" ca="1" si="4"/>
        <v>4505780</v>
      </c>
      <c r="N52" s="64" t="s">
        <v>541</v>
      </c>
      <c r="O52" s="253" t="s">
        <v>990</v>
      </c>
      <c r="P52" s="69"/>
      <c r="Q52" s="2">
        <f t="shared" si="2"/>
        <v>1</v>
      </c>
      <c r="R52" s="221">
        <f t="shared" si="1"/>
        <v>11.325757575757576</v>
      </c>
    </row>
    <row r="53" spans="1:18" x14ac:dyDescent="0.3">
      <c r="A53" s="80">
        <v>1.0389999999999957</v>
      </c>
      <c r="B53" s="59" t="s">
        <v>5</v>
      </c>
      <c r="C53" s="59" t="s">
        <v>41</v>
      </c>
      <c r="D53" s="118">
        <v>27</v>
      </c>
      <c r="E53" s="118">
        <v>20</v>
      </c>
      <c r="F53" s="59"/>
      <c r="G53" s="59" t="s">
        <v>415</v>
      </c>
      <c r="H53" s="60">
        <f>IF(B53="Projects","N/A",IF(B53="Served","N/A",('Cost Basis'!E$3+('Cost Basis'!C$3*Model!D53))*(1+'Cost Basis'!F$3)))</f>
        <v>387750.00000000006</v>
      </c>
      <c r="I53" s="123" t="s">
        <v>416</v>
      </c>
      <c r="J53" s="59" t="s">
        <v>32</v>
      </c>
      <c r="K53" s="61">
        <v>303500</v>
      </c>
      <c r="L53" s="62">
        <f ca="1">IF(K53=0,"N/A",(LOOKUP(I53,'Cost Basis'!A$4:A$15,'Cost Basis'!E$4:E$15)+IF(LOOKUP(Model!I53,'Cost Basis'!A$4:A$11)=I53,LOOKUP(Model!I53,'Cost Basis'!A$4:A$11,'Cost Basis'!C$4:C$11)*Model!K53*(1+LOOKUP(I53,'Cost Basis'!A$4:A$15,'Cost Basis'!F$3:F$15)),LOOKUP(Model!I53,'Cost Basis'!A$4:A$15,'Cost Basis'!C$4:C$15)*ROUNDUP(Model!K53/5280/30,0))*(1+LOOKUP(I53,'Cost Basis'!A$4:A$15,'Cost Basis'!F$4:F$15))))</f>
        <v>14323225.000000004</v>
      </c>
      <c r="M53" s="264">
        <f t="shared" ca="1" si="4"/>
        <v>14710975.000000004</v>
      </c>
      <c r="N53" s="64" t="s">
        <v>560</v>
      </c>
      <c r="O53" s="253" t="s">
        <v>990</v>
      </c>
      <c r="P53" s="69"/>
      <c r="Q53" s="2">
        <f t="shared" si="2"/>
        <v>1</v>
      </c>
      <c r="R53" s="221">
        <f t="shared" si="1"/>
        <v>57.481060606060609</v>
      </c>
    </row>
    <row r="54" spans="1:18" x14ac:dyDescent="0.3">
      <c r="A54" s="80">
        <v>1.144999999999984</v>
      </c>
      <c r="B54" s="59" t="s">
        <v>5</v>
      </c>
      <c r="C54" s="59" t="s">
        <v>146</v>
      </c>
      <c r="D54" s="118">
        <v>23</v>
      </c>
      <c r="E54" s="118">
        <v>5</v>
      </c>
      <c r="F54" s="59"/>
      <c r="G54" s="59" t="s">
        <v>415</v>
      </c>
      <c r="H54" s="60">
        <f>IF(B54="Projects","N/A",IF(B54="Served","N/A",('Cost Basis'!E$3+('Cost Basis'!C$3*Model!D54))*(1+'Cost Basis'!F$3)))</f>
        <v>354750</v>
      </c>
      <c r="I54" s="123" t="s">
        <v>416</v>
      </c>
      <c r="J54" s="59" t="s">
        <v>41</v>
      </c>
      <c r="K54" s="61">
        <v>182800</v>
      </c>
      <c r="L54" s="62">
        <f ca="1">IF(K54=0,"N/A",(LOOKUP(I54,'Cost Basis'!A$4:A$15,'Cost Basis'!E$4:E$15)+IF(LOOKUP(Model!I54,'Cost Basis'!A$4:A$11)=I54,LOOKUP(Model!I54,'Cost Basis'!A$4:A$11,'Cost Basis'!C$4:C$11)*Model!K54*(1+LOOKUP(I54,'Cost Basis'!A$4:A$15,'Cost Basis'!F$3:F$15)),LOOKUP(Model!I54,'Cost Basis'!A$4:A$15,'Cost Basis'!C$4:C$15)*ROUNDUP(Model!K54/5280/30,0))*(1+LOOKUP(I54,'Cost Basis'!A$4:A$15,'Cost Basis'!F$4:F$15))))</f>
        <v>9211580.0000000019</v>
      </c>
      <c r="M54" s="264">
        <f t="shared" ca="1" si="4"/>
        <v>9566330.0000000019</v>
      </c>
      <c r="N54" s="64" t="s">
        <v>576</v>
      </c>
      <c r="O54" s="253" t="s">
        <v>990</v>
      </c>
      <c r="P54" s="69"/>
      <c r="Q54" s="2">
        <f t="shared" si="2"/>
        <v>1</v>
      </c>
      <c r="R54" s="221">
        <f t="shared" si="1"/>
        <v>34.621212121212125</v>
      </c>
    </row>
    <row r="55" spans="1:18" x14ac:dyDescent="0.3">
      <c r="A55" s="80">
        <v>1.1569999999999827</v>
      </c>
      <c r="B55" s="59" t="s">
        <v>5</v>
      </c>
      <c r="C55" s="59" t="s">
        <v>158</v>
      </c>
      <c r="D55" s="118">
        <v>49</v>
      </c>
      <c r="E55" s="118">
        <v>25</v>
      </c>
      <c r="F55" s="59"/>
      <c r="G55" s="59" t="s">
        <v>415</v>
      </c>
      <c r="H55" s="60">
        <f>IF(B55="Projects","N/A",IF(B55="Served","N/A",('Cost Basis'!E$3+('Cost Basis'!C$3*Model!D55))*(1+'Cost Basis'!F$3)))</f>
        <v>569250</v>
      </c>
      <c r="I55" s="123" t="s">
        <v>416</v>
      </c>
      <c r="J55" s="59" t="s">
        <v>146</v>
      </c>
      <c r="K55" s="61">
        <v>52300</v>
      </c>
      <c r="L55" s="62">
        <f ca="1">IF(K55=0,"N/A",(LOOKUP(I55,'Cost Basis'!A$4:A$15,'Cost Basis'!E$4:E$15)+IF(LOOKUP(Model!I55,'Cost Basis'!A$4:A$11)=I55,LOOKUP(Model!I55,'Cost Basis'!A$4:A$11,'Cost Basis'!C$4:C$11)*Model!K55*(1+LOOKUP(I55,'Cost Basis'!A$4:A$15,'Cost Basis'!F$3:F$15)),LOOKUP(Model!I55,'Cost Basis'!A$4:A$15,'Cost Basis'!C$4:C$15)*ROUNDUP(Model!K55/5280/30,0))*(1+LOOKUP(I55,'Cost Basis'!A$4:A$15,'Cost Basis'!F$4:F$15))))</f>
        <v>3684905.0000000005</v>
      </c>
      <c r="M55" s="264">
        <f t="shared" ca="1" si="4"/>
        <v>4254155</v>
      </c>
      <c r="N55" s="64" t="s">
        <v>584</v>
      </c>
      <c r="O55" s="253" t="s">
        <v>990</v>
      </c>
      <c r="P55" s="69"/>
      <c r="Q55" s="2">
        <f t="shared" si="2"/>
        <v>1</v>
      </c>
      <c r="R55" s="221">
        <f t="shared" si="1"/>
        <v>9.9053030303030312</v>
      </c>
    </row>
    <row r="56" spans="1:18" x14ac:dyDescent="0.3">
      <c r="A56" s="80">
        <v>1.1649999999999818</v>
      </c>
      <c r="B56" s="59" t="s">
        <v>5</v>
      </c>
      <c r="C56" s="59" t="s">
        <v>166</v>
      </c>
      <c r="D56" s="118">
        <v>19</v>
      </c>
      <c r="E56" s="118">
        <v>7</v>
      </c>
      <c r="F56" s="59"/>
      <c r="G56" s="59" t="s">
        <v>415</v>
      </c>
      <c r="H56" s="60">
        <f>IF(B56="Projects","N/A",IF(B56="Served","N/A",('Cost Basis'!E$3+('Cost Basis'!C$3*Model!D56))*(1+'Cost Basis'!F$3)))</f>
        <v>321750</v>
      </c>
      <c r="I56" s="123" t="s">
        <v>416</v>
      </c>
      <c r="J56" s="59" t="s">
        <v>158</v>
      </c>
      <c r="K56" s="61">
        <v>144100</v>
      </c>
      <c r="L56" s="62">
        <f ca="1">IF(K56=0,"N/A",(LOOKUP(I56,'Cost Basis'!A$4:A$15,'Cost Basis'!E$4:E$15)+IF(LOOKUP(Model!I56,'Cost Basis'!A$4:A$11)=I56,LOOKUP(Model!I56,'Cost Basis'!A$4:A$11,'Cost Basis'!C$4:C$11)*Model!K56*(1+LOOKUP(I56,'Cost Basis'!A$4:A$15,'Cost Basis'!F$3:F$15)),LOOKUP(Model!I56,'Cost Basis'!A$4:A$15,'Cost Basis'!C$4:C$15)*ROUNDUP(Model!K56/5280/30,0))*(1+LOOKUP(I56,'Cost Basis'!A$4:A$15,'Cost Basis'!F$4:F$15))))</f>
        <v>7572635.0000000009</v>
      </c>
      <c r="M56" s="264">
        <f t="shared" ca="1" si="4"/>
        <v>7894385.0000000009</v>
      </c>
      <c r="N56" s="64" t="s">
        <v>588</v>
      </c>
      <c r="O56" s="253" t="s">
        <v>990</v>
      </c>
      <c r="P56" s="69"/>
      <c r="Q56" s="2">
        <f t="shared" si="2"/>
        <v>1</v>
      </c>
      <c r="R56" s="221">
        <f t="shared" si="1"/>
        <v>27.291666666666668</v>
      </c>
    </row>
    <row r="57" spans="1:18" x14ac:dyDescent="0.3">
      <c r="A57" s="80">
        <v>1.0829999999999909</v>
      </c>
      <c r="B57" s="59" t="s">
        <v>5</v>
      </c>
      <c r="C57" s="59" t="s">
        <v>85</v>
      </c>
      <c r="D57" s="118">
        <v>30</v>
      </c>
      <c r="E57" s="118">
        <v>4</v>
      </c>
      <c r="F57" s="59"/>
      <c r="G57" s="59" t="s">
        <v>415</v>
      </c>
      <c r="H57" s="60">
        <f>IF(B57="Projects","N/A",IF(B57="Served","N/A",('Cost Basis'!E$3+('Cost Basis'!C$3*Model!D57))*(1+'Cost Basis'!F$3)))</f>
        <v>412500.00000000006</v>
      </c>
      <c r="I57" s="123" t="s">
        <v>416</v>
      </c>
      <c r="J57" s="59" t="s">
        <v>166</v>
      </c>
      <c r="K57" s="61">
        <v>355800</v>
      </c>
      <c r="L57" s="62">
        <f ca="1">IF(K57=0,"N/A",(LOOKUP(I57,'Cost Basis'!A$4:A$15,'Cost Basis'!E$4:E$15)+IF(LOOKUP(Model!I57,'Cost Basis'!A$4:A$11)=I57,LOOKUP(Model!I57,'Cost Basis'!A$4:A$11,'Cost Basis'!C$4:C$11)*Model!K57*(1+LOOKUP(I57,'Cost Basis'!A$4:A$15,'Cost Basis'!F$3:F$15)),LOOKUP(Model!I57,'Cost Basis'!A$4:A$15,'Cost Basis'!C$4:C$15)*ROUNDUP(Model!K57/5280/30,0))*(1+LOOKUP(I57,'Cost Basis'!A$4:A$15,'Cost Basis'!F$4:F$15))))</f>
        <v>16538130.000000004</v>
      </c>
      <c r="M57" s="264">
        <f t="shared" ca="1" si="4"/>
        <v>16950630.000000004</v>
      </c>
      <c r="N57" s="64" t="s">
        <v>591</v>
      </c>
      <c r="O57" s="253" t="s">
        <v>990</v>
      </c>
      <c r="P57" s="69"/>
      <c r="Q57" s="2">
        <f t="shared" si="2"/>
        <v>1</v>
      </c>
      <c r="R57" s="221">
        <f t="shared" si="1"/>
        <v>67.38636363636364</v>
      </c>
    </row>
    <row r="58" spans="1:18" x14ac:dyDescent="0.3">
      <c r="A58" s="80">
        <v>1.0899999999999901</v>
      </c>
      <c r="B58" s="59" t="s">
        <v>5</v>
      </c>
      <c r="C58" s="59" t="s">
        <v>92</v>
      </c>
      <c r="D58" s="118">
        <v>172</v>
      </c>
      <c r="E58" s="118">
        <v>99</v>
      </c>
      <c r="F58" s="59"/>
      <c r="G58" s="59" t="s">
        <v>415</v>
      </c>
      <c r="H58" s="60">
        <f>IF(B58="Projects","N/A",IF(B58="Served","N/A",('Cost Basis'!E$3+('Cost Basis'!C$3*Model!D58))*(1+'Cost Basis'!F$3)))</f>
        <v>1584000.0000000002</v>
      </c>
      <c r="I58" s="123" t="s">
        <v>416</v>
      </c>
      <c r="J58" s="59" t="s">
        <v>166</v>
      </c>
      <c r="K58" s="61">
        <v>641000</v>
      </c>
      <c r="L58" s="62">
        <f ca="1">IF(K58=0,"N/A",(LOOKUP(I58,'Cost Basis'!A$4:A$15,'Cost Basis'!E$4:E$15)+IF(LOOKUP(Model!I58,'Cost Basis'!A$4:A$11)=I58,LOOKUP(Model!I58,'Cost Basis'!A$4:A$11,'Cost Basis'!C$4:C$11)*Model!K58*(1+LOOKUP(I58,'Cost Basis'!A$4:A$15,'Cost Basis'!F$3:F$15)),LOOKUP(Model!I58,'Cost Basis'!A$4:A$15,'Cost Basis'!C$4:C$15)*ROUNDUP(Model!K58/5280/30,0))*(1+LOOKUP(I58,'Cost Basis'!A$4:A$15,'Cost Basis'!F$4:F$15))))</f>
        <v>28616350.000000007</v>
      </c>
      <c r="M58" s="264">
        <f t="shared" ca="1" si="4"/>
        <v>30200350.000000007</v>
      </c>
      <c r="N58" s="64" t="s">
        <v>595</v>
      </c>
      <c r="O58" s="253" t="s">
        <v>993</v>
      </c>
      <c r="P58" s="69"/>
      <c r="Q58" s="2">
        <f t="shared" si="2"/>
        <v>1</v>
      </c>
      <c r="R58" s="221">
        <f t="shared" si="1"/>
        <v>121.40151515151516</v>
      </c>
    </row>
    <row r="59" spans="1:18" x14ac:dyDescent="0.3">
      <c r="A59" s="80">
        <v>1.1679999999999815</v>
      </c>
      <c r="B59" s="59" t="s">
        <v>5</v>
      </c>
      <c r="C59" s="59" t="s">
        <v>168</v>
      </c>
      <c r="D59" s="118">
        <v>26</v>
      </c>
      <c r="E59" s="118">
        <v>13</v>
      </c>
      <c r="F59" s="59"/>
      <c r="G59" s="59" t="s">
        <v>415</v>
      </c>
      <c r="H59" s="60">
        <f>IF(B59="Projects","N/A",IF(B59="Served","N/A",('Cost Basis'!E$3+('Cost Basis'!C$3*Model!D59))*(1+'Cost Basis'!F$3)))</f>
        <v>379500.00000000006</v>
      </c>
      <c r="I59" s="123" t="s">
        <v>421</v>
      </c>
      <c r="J59" s="59" t="s">
        <v>92</v>
      </c>
      <c r="K59" s="61">
        <v>115900</v>
      </c>
      <c r="L59" s="62">
        <f ca="1">IF(K59=0,"N/A",(LOOKUP(I59,'Cost Basis'!A$4:A$15,'Cost Basis'!E$4:E$15)+IF(LOOKUP(Model!I59,'Cost Basis'!A$4:A$11)=I59,LOOKUP(Model!I59,'Cost Basis'!A$4:A$11,'Cost Basis'!C$4:C$11)*Model!K59*(1+LOOKUP(I59,'Cost Basis'!A$4:A$15,'Cost Basis'!F$3:F$15)),LOOKUP(Model!I59,'Cost Basis'!A$4:A$15,'Cost Basis'!C$4:C$15)*ROUNDUP(Model!K59/5280/30,0))*(1+LOOKUP(I59,'Cost Basis'!A$4:A$15,'Cost Basis'!F$4:F$15))))</f>
        <v>5406692.0000000009</v>
      </c>
      <c r="M59" s="264">
        <f t="shared" ca="1" si="4"/>
        <v>5786192.0000000009</v>
      </c>
      <c r="N59" s="64" t="s">
        <v>598</v>
      </c>
      <c r="O59" s="253" t="s">
        <v>993</v>
      </c>
      <c r="P59" s="69"/>
      <c r="Q59" s="2">
        <f t="shared" si="2"/>
        <v>1</v>
      </c>
      <c r="R59" s="221">
        <f t="shared" si="1"/>
        <v>21.950757575757574</v>
      </c>
    </row>
    <row r="60" spans="1:18" x14ac:dyDescent="0.3">
      <c r="A60" s="80">
        <v>1.09089999999999</v>
      </c>
      <c r="B60" s="59" t="s">
        <v>5</v>
      </c>
      <c r="C60" s="59" t="s">
        <v>505</v>
      </c>
      <c r="D60" s="118">
        <v>18</v>
      </c>
      <c r="E60" s="118">
        <v>9</v>
      </c>
      <c r="F60" s="59"/>
      <c r="G60" s="59" t="s">
        <v>415</v>
      </c>
      <c r="H60" s="60">
        <f>IF(B60="Projects","N/A",IF(B60="Served","N/A",('Cost Basis'!E$3+('Cost Basis'!C$3*Model!D60))*(1+'Cost Basis'!F$3)))</f>
        <v>313500</v>
      </c>
      <c r="I60" s="123" t="s">
        <v>414</v>
      </c>
      <c r="J60" s="59" t="s">
        <v>92</v>
      </c>
      <c r="K60" s="61">
        <v>54200</v>
      </c>
      <c r="L60" s="62">
        <f ca="1">IF(K60=0,"N/A",(LOOKUP(I60,'Cost Basis'!A$4:A$15,'Cost Basis'!E$4:E$15)+IF(LOOKUP(Model!I60,'Cost Basis'!A$4:A$11)=I60,LOOKUP(Model!I60,'Cost Basis'!A$4:A$11,'Cost Basis'!C$4:C$11)*Model!K60*(1+LOOKUP(I60,'Cost Basis'!A$4:A$15,'Cost Basis'!F$3:F$15)),LOOKUP(Model!I60,'Cost Basis'!A$4:A$15,'Cost Basis'!C$4:C$15)*ROUNDUP(Model!K60/5280/30,0))*(1+LOOKUP(I60,'Cost Basis'!A$4:A$15,'Cost Basis'!F$4:F$15))))</f>
        <v>2983968</v>
      </c>
      <c r="M60" s="264">
        <f t="shared" ca="1" si="4"/>
        <v>3297468</v>
      </c>
      <c r="N60" s="64" t="s">
        <v>506</v>
      </c>
      <c r="O60" s="253" t="s">
        <v>993</v>
      </c>
      <c r="P60" s="69"/>
      <c r="Q60" s="2">
        <f t="shared" si="2"/>
        <v>1</v>
      </c>
      <c r="R60" s="221">
        <f t="shared" si="1"/>
        <v>10.265151515151516</v>
      </c>
    </row>
    <row r="61" spans="1:18" x14ac:dyDescent="0.3">
      <c r="A61" s="80">
        <v>1.1059999999999883</v>
      </c>
      <c r="B61" s="59" t="s">
        <v>5</v>
      </c>
      <c r="C61" s="59" t="s">
        <v>107</v>
      </c>
      <c r="D61" s="118">
        <v>63</v>
      </c>
      <c r="E61" s="118">
        <v>57</v>
      </c>
      <c r="F61" s="59"/>
      <c r="G61" s="59" t="s">
        <v>415</v>
      </c>
      <c r="H61" s="60">
        <f>IF(B61="Projects","N/A",IF(B61="Served","N/A",('Cost Basis'!E$3+('Cost Basis'!C$3*Model!D61))*(1+'Cost Basis'!F$3)))</f>
        <v>684750</v>
      </c>
      <c r="I61" s="123" t="s">
        <v>411</v>
      </c>
      <c r="J61" s="59" t="s">
        <v>92</v>
      </c>
      <c r="K61" s="61">
        <f>178800+66400</f>
        <v>245200</v>
      </c>
      <c r="L61" s="62">
        <f ca="1">IF(K61=0,"N/A",(LOOKUP(I61,'Cost Basis'!A$4:A$15,'Cost Basis'!E$4:E$15)+IF(LOOKUP(Model!I61,'Cost Basis'!A$4:A$11)=I61,LOOKUP(Model!I61,'Cost Basis'!A$4:A$11,'Cost Basis'!C$4:C$11)*Model!K61*(1+LOOKUP(I61,'Cost Basis'!A$4:A$15,'Cost Basis'!F$3:F$15)),LOOKUP(Model!I61,'Cost Basis'!A$4:A$15,'Cost Basis'!C$4:C$15)*ROUNDUP(Model!K61/5280/30,0))*(1+LOOKUP(I61,'Cost Basis'!A$4:A$15,'Cost Basis'!F$4:F$15))))</f>
        <v>11884220</v>
      </c>
      <c r="M61" s="264">
        <f t="shared" ca="1" si="4"/>
        <v>12568970</v>
      </c>
      <c r="N61" s="64" t="s">
        <v>507</v>
      </c>
      <c r="O61" s="253" t="s">
        <v>993</v>
      </c>
      <c r="P61" s="69"/>
      <c r="Q61" s="2">
        <f t="shared" si="2"/>
        <v>1</v>
      </c>
      <c r="R61" s="221">
        <f t="shared" si="1"/>
        <v>46.439393939393938</v>
      </c>
    </row>
    <row r="62" spans="1:18" x14ac:dyDescent="0.3">
      <c r="A62" s="80">
        <v>1.1689999999999814</v>
      </c>
      <c r="B62" s="59" t="s">
        <v>5</v>
      </c>
      <c r="C62" s="59" t="s">
        <v>169</v>
      </c>
      <c r="D62" s="118">
        <v>10</v>
      </c>
      <c r="E62" s="118">
        <v>2</v>
      </c>
      <c r="F62" s="59"/>
      <c r="G62" s="59" t="s">
        <v>415</v>
      </c>
      <c r="H62" s="60">
        <f>IF(B62="Projects","N/A",IF(B62="Served","N/A",('Cost Basis'!E$3+('Cost Basis'!C$3*Model!D62))*(1+'Cost Basis'!F$3)))</f>
        <v>247500.00000000003</v>
      </c>
      <c r="I62" s="123" t="s">
        <v>421</v>
      </c>
      <c r="J62" s="59" t="s">
        <v>107</v>
      </c>
      <c r="K62" s="61">
        <v>265400</v>
      </c>
      <c r="L62" s="62">
        <f ca="1">IF(K62=0,"N/A",(LOOKUP(I62,'Cost Basis'!A$4:A$15,'Cost Basis'!E$4:E$15)+IF(LOOKUP(Model!I62,'Cost Basis'!A$4:A$11)=I62,LOOKUP(Model!I62,'Cost Basis'!A$4:A$11,'Cost Basis'!C$4:C$11)*Model!K62*(1+LOOKUP(I62,'Cost Basis'!A$4:A$15,'Cost Basis'!F$3:F$15)),LOOKUP(Model!I62,'Cost Basis'!A$4:A$15,'Cost Basis'!C$4:C$15)*ROUNDUP(Model!K62/5280/30,0))*(1+LOOKUP(I62,'Cost Basis'!A$4:A$15,'Cost Basis'!F$4:F$15))))</f>
        <v>10471752.000000002</v>
      </c>
      <c r="M62" s="264">
        <f t="shared" ca="1" si="4"/>
        <v>10719252.000000002</v>
      </c>
      <c r="N62" s="64" t="s">
        <v>508</v>
      </c>
      <c r="O62" s="253" t="s">
        <v>993</v>
      </c>
      <c r="P62" s="69"/>
      <c r="Q62" s="2">
        <f t="shared" si="2"/>
        <v>1</v>
      </c>
      <c r="R62" s="221">
        <f t="shared" si="1"/>
        <v>50.265151515151516</v>
      </c>
    </row>
    <row r="63" spans="1:18" x14ac:dyDescent="0.3">
      <c r="A63" s="80">
        <v>1.081999999999991</v>
      </c>
      <c r="B63" s="59" t="s">
        <v>5</v>
      </c>
      <c r="C63" s="59" t="s">
        <v>84</v>
      </c>
      <c r="D63" s="118">
        <v>61</v>
      </c>
      <c r="E63" s="118">
        <v>16</v>
      </c>
      <c r="F63" s="59"/>
      <c r="G63" s="59" t="s">
        <v>415</v>
      </c>
      <c r="H63" s="60">
        <f>IF(B63="Projects","N/A",IF(B63="Served","N/A",('Cost Basis'!E$3+('Cost Basis'!C$3*Model!D63))*(1+'Cost Basis'!F$3)))</f>
        <v>668250</v>
      </c>
      <c r="I63" s="123" t="s">
        <v>411</v>
      </c>
      <c r="J63" s="59" t="s">
        <v>169</v>
      </c>
      <c r="K63" s="61">
        <v>279100</v>
      </c>
      <c r="L63" s="62">
        <f ca="1">IF(K63=0,"N/A",(LOOKUP(I63,'Cost Basis'!A$4:A$15,'Cost Basis'!E$4:E$15)+IF(LOOKUP(Model!I63,'Cost Basis'!A$4:A$11)=I63,LOOKUP(Model!I63,'Cost Basis'!A$4:A$11,'Cost Basis'!C$4:C$11)*Model!K63*(1+LOOKUP(I63,'Cost Basis'!A$4:A$15,'Cost Basis'!F$3:F$15)),LOOKUP(Model!I63,'Cost Basis'!A$4:A$15,'Cost Basis'!C$4:C$15)*ROUNDUP(Model!K63/5280/30,0))*(1+LOOKUP(I63,'Cost Basis'!A$4:A$15,'Cost Basis'!F$4:F$15))))</f>
        <v>13319885.000000002</v>
      </c>
      <c r="M63" s="264">
        <f t="shared" ca="1" si="4"/>
        <v>13988135.000000002</v>
      </c>
      <c r="N63" s="64" t="s">
        <v>509</v>
      </c>
      <c r="O63" s="253" t="s">
        <v>993</v>
      </c>
      <c r="P63" s="69"/>
      <c r="Q63" s="2">
        <f t="shared" si="2"/>
        <v>1</v>
      </c>
      <c r="R63" s="221">
        <f t="shared" si="1"/>
        <v>52.859848484848484</v>
      </c>
    </row>
    <row r="64" spans="1:18" x14ac:dyDescent="0.3">
      <c r="A64" s="80">
        <v>1.0859999999999905</v>
      </c>
      <c r="B64" s="59" t="s">
        <v>5</v>
      </c>
      <c r="C64" s="59" t="s">
        <v>88</v>
      </c>
      <c r="D64" s="118">
        <v>105</v>
      </c>
      <c r="E64" s="118">
        <v>22</v>
      </c>
      <c r="F64" s="59"/>
      <c r="G64" s="59" t="s">
        <v>415</v>
      </c>
      <c r="H64" s="60">
        <f>IF(B64="Projects","N/A",IF(B64="Served","N/A",('Cost Basis'!E$3+('Cost Basis'!C$3*Model!D64))*(1+'Cost Basis'!F$3)))</f>
        <v>1031250.0000000001</v>
      </c>
      <c r="I64" s="123" t="s">
        <v>414</v>
      </c>
      <c r="J64" s="59" t="s">
        <v>446</v>
      </c>
      <c r="K64" s="61">
        <v>405352</v>
      </c>
      <c r="L64" s="62">
        <f ca="1">IF(K64=0,"N/A",(LOOKUP(I64,'Cost Basis'!A$4:A$15,'Cost Basis'!E$4:E$15)+IF(LOOKUP(Model!I64,'Cost Basis'!A$4:A$11)=I64,LOOKUP(Model!I64,'Cost Basis'!A$4:A$11,'Cost Basis'!C$4:C$11)*Model!K64*(1+LOOKUP(I64,'Cost Basis'!A$4:A$15,'Cost Basis'!F$3:F$15)),LOOKUP(Model!I64,'Cost Basis'!A$4:A$15,'Cost Basis'!C$4:C$15)*ROUNDUP(Model!K64/5280/30,0))*(1+LOOKUP(I64,'Cost Basis'!A$4:A$15,'Cost Basis'!F$4:F$15))))</f>
        <v>13181422.080000002</v>
      </c>
      <c r="M64" s="264">
        <f t="shared" ca="1" si="4"/>
        <v>14212672.080000002</v>
      </c>
      <c r="N64" s="64" t="s">
        <v>528</v>
      </c>
      <c r="O64" s="253" t="s">
        <v>993</v>
      </c>
      <c r="P64" s="69"/>
      <c r="Q64" s="2">
        <f t="shared" si="2"/>
        <v>1</v>
      </c>
      <c r="R64" s="221">
        <f t="shared" si="1"/>
        <v>76.771212121212116</v>
      </c>
    </row>
    <row r="65" spans="1:18" x14ac:dyDescent="0.3">
      <c r="A65" s="80">
        <v>1.0969999999999893</v>
      </c>
      <c r="B65" s="59" t="s">
        <v>5</v>
      </c>
      <c r="C65" s="59" t="s">
        <v>98</v>
      </c>
      <c r="D65" s="118">
        <v>81</v>
      </c>
      <c r="E65" s="118">
        <v>51</v>
      </c>
      <c r="F65" s="59"/>
      <c r="G65" s="59" t="s">
        <v>415</v>
      </c>
      <c r="H65" s="60">
        <f>IF(B65="Projects","N/A",IF(B65="Served","N/A",('Cost Basis'!E$3+('Cost Basis'!C$3*Model!D65))*(1+'Cost Basis'!F$3)))</f>
        <v>833250.00000000012</v>
      </c>
      <c r="I65" s="123" t="s">
        <v>414</v>
      </c>
      <c r="J65" s="59" t="s">
        <v>446</v>
      </c>
      <c r="K65" s="61">
        <v>54200</v>
      </c>
      <c r="L65" s="62">
        <f ca="1">IF(K65=0,"N/A",(LOOKUP(I65,'Cost Basis'!A$4:A$15,'Cost Basis'!E$4:E$15)+IF(LOOKUP(Model!I65,'Cost Basis'!A$4:A$11)=I65,LOOKUP(Model!I65,'Cost Basis'!A$4:A$11,'Cost Basis'!C$4:C$11)*Model!K65*(1+LOOKUP(I65,'Cost Basis'!A$4:A$15,'Cost Basis'!F$3:F$15)),LOOKUP(Model!I65,'Cost Basis'!A$4:A$15,'Cost Basis'!C$4:C$15)*ROUNDUP(Model!K65/5280/30,0))*(1+LOOKUP(I65,'Cost Basis'!A$4:A$15,'Cost Basis'!F$4:F$15))))</f>
        <v>2983968</v>
      </c>
      <c r="M65" s="264">
        <f t="shared" ca="1" si="4"/>
        <v>3817218</v>
      </c>
      <c r="N65" s="64" t="s">
        <v>551</v>
      </c>
      <c r="O65" s="253" t="s">
        <v>993</v>
      </c>
      <c r="P65" s="69"/>
      <c r="Q65" s="2">
        <f t="shared" si="2"/>
        <v>1</v>
      </c>
      <c r="R65" s="221">
        <f t="shared" si="1"/>
        <v>10.265151515151516</v>
      </c>
    </row>
    <row r="66" spans="1:18" x14ac:dyDescent="0.3">
      <c r="A66" s="80">
        <v>1.0209999999999977</v>
      </c>
      <c r="B66" s="59" t="s">
        <v>5</v>
      </c>
      <c r="C66" s="59" t="s">
        <v>24</v>
      </c>
      <c r="D66" s="118">
        <v>20</v>
      </c>
      <c r="E66" s="118">
        <v>10</v>
      </c>
      <c r="F66" s="59"/>
      <c r="G66" s="59" t="s">
        <v>415</v>
      </c>
      <c r="H66" s="60">
        <f>IF(B66="Projects","N/A",IF(B66="Served","N/A",('Cost Basis'!E$3+('Cost Basis'!C$3*Model!D66))*(1+'Cost Basis'!F$3)))</f>
        <v>330000</v>
      </c>
      <c r="I66" s="123" t="s">
        <v>414</v>
      </c>
      <c r="J66" s="59" t="s">
        <v>318</v>
      </c>
      <c r="K66" s="61">
        <f>14.8*5280</f>
        <v>78144</v>
      </c>
      <c r="L66" s="62">
        <f ca="1">IF(K66=0,"N/A",(LOOKUP(I66,'Cost Basis'!A$4:A$15,'Cost Basis'!E$4:E$15)+IF(LOOKUP(Model!I66,'Cost Basis'!A$4:A$11)=I66,LOOKUP(Model!I66,'Cost Basis'!A$4:A$11,'Cost Basis'!C$4:C$11)*Model!K66*(1+LOOKUP(I66,'Cost Basis'!A$4:A$15,'Cost Basis'!F$3:F$15)),LOOKUP(Model!I66,'Cost Basis'!A$4:A$15,'Cost Basis'!C$4:C$15)*ROUNDUP(Model!K66/5280/30,0))*(1+LOOKUP(I66,'Cost Basis'!A$4:A$15,'Cost Basis'!F$4:F$15))))</f>
        <v>3679301.7600000002</v>
      </c>
      <c r="M66" s="264">
        <f t="shared" ca="1" si="4"/>
        <v>4009301.7600000002</v>
      </c>
      <c r="N66" s="64" t="s">
        <v>520</v>
      </c>
      <c r="O66" s="253" t="s">
        <v>993</v>
      </c>
      <c r="P66" s="69"/>
      <c r="Q66" s="2">
        <f t="shared" si="2"/>
        <v>1</v>
      </c>
      <c r="R66" s="221">
        <f t="shared" si="1"/>
        <v>14.8</v>
      </c>
    </row>
    <row r="67" spans="1:18" x14ac:dyDescent="0.3">
      <c r="A67" s="80">
        <v>1.0439999999999952</v>
      </c>
      <c r="B67" s="59" t="s">
        <v>5</v>
      </c>
      <c r="C67" s="59" t="s">
        <v>46</v>
      </c>
      <c r="D67" s="118">
        <v>2</v>
      </c>
      <c r="E67" s="118">
        <v>1</v>
      </c>
      <c r="F67" s="59"/>
      <c r="G67" s="59" t="s">
        <v>415</v>
      </c>
      <c r="H67" s="60">
        <f>IF(B67="Projects","N/A",IF(B67="Served","N/A",('Cost Basis'!E$3+('Cost Basis'!C$3*Model!D67))*(1+'Cost Basis'!F$3)))</f>
        <v>181500.00000000003</v>
      </c>
      <c r="I67" s="123" t="s">
        <v>414</v>
      </c>
      <c r="J67" s="59" t="s">
        <v>24</v>
      </c>
      <c r="K67" s="61">
        <f>747100-SUM(K66,K68:K69)</f>
        <v>370044</v>
      </c>
      <c r="L67" s="62">
        <f ca="1">IF(K67=0,"N/A",(LOOKUP(I67,'Cost Basis'!A$4:A$15,'Cost Basis'!E$4:E$15)+IF(LOOKUP(Model!I67,'Cost Basis'!A$4:A$11)=I67,LOOKUP(Model!I67,'Cost Basis'!A$4:A$11,'Cost Basis'!C$4:C$11)*Model!K67*(1+LOOKUP(I67,'Cost Basis'!A$4:A$15,'Cost Basis'!F$3:F$15)),LOOKUP(Model!I67,'Cost Basis'!A$4:A$15,'Cost Basis'!C$4:C$15)*ROUNDUP(Model!K67/5280/30,0))*(1+LOOKUP(I67,'Cost Basis'!A$4:A$15,'Cost Basis'!F$4:F$15))))</f>
        <v>12156077.760000002</v>
      </c>
      <c r="M67" s="264">
        <f t="shared" ca="1" si="4"/>
        <v>12337577.760000002</v>
      </c>
      <c r="N67" s="64" t="s">
        <v>543</v>
      </c>
      <c r="O67" s="253" t="s">
        <v>993</v>
      </c>
      <c r="P67" s="69"/>
      <c r="Q67" s="2">
        <f t="shared" si="2"/>
        <v>1</v>
      </c>
      <c r="R67" s="221">
        <f t="shared" ref="R67:R130" si="5">K67/5280</f>
        <v>70.084090909090904</v>
      </c>
    </row>
    <row r="68" spans="1:18" x14ac:dyDescent="0.3">
      <c r="A68" s="80">
        <v>1.0189999999999979</v>
      </c>
      <c r="B68" s="59" t="s">
        <v>5</v>
      </c>
      <c r="C68" s="59" t="s">
        <v>22</v>
      </c>
      <c r="D68" s="118">
        <v>170</v>
      </c>
      <c r="E68" s="118">
        <v>28</v>
      </c>
      <c r="F68" s="59"/>
      <c r="G68" s="59" t="s">
        <v>415</v>
      </c>
      <c r="H68" s="60">
        <f>IF(B68="Projects","N/A",IF(B68="Served","N/A",('Cost Basis'!E$3+('Cost Basis'!C$3*Model!D68))*(1+'Cost Basis'!F$3)))</f>
        <v>1567500.0000000002</v>
      </c>
      <c r="I68" s="123" t="s">
        <v>414</v>
      </c>
      <c r="J68" s="59" t="s">
        <v>46</v>
      </c>
      <c r="K68" s="61">
        <v>125200</v>
      </c>
      <c r="L68" s="62">
        <f ca="1">IF(K68=0,"N/A",(LOOKUP(I68,'Cost Basis'!A$4:A$15,'Cost Basis'!E$4:E$15)+IF(LOOKUP(Model!I68,'Cost Basis'!A$4:A$11)=I68,LOOKUP(Model!I68,'Cost Basis'!A$4:A$11,'Cost Basis'!C$4:C$11)*Model!K68*(1+LOOKUP(I68,'Cost Basis'!A$4:A$15,'Cost Basis'!F$3:F$15)),LOOKUP(Model!I68,'Cost Basis'!A$4:A$15,'Cost Basis'!C$4:C$15)*ROUNDUP(Model!K68/5280/30,0))*(1+LOOKUP(I68,'Cost Basis'!A$4:A$15,'Cost Basis'!F$4:F$15))))</f>
        <v>5045808.0000000009</v>
      </c>
      <c r="M68" s="264">
        <f t="shared" ca="1" si="4"/>
        <v>6613308.0000000009</v>
      </c>
      <c r="N68" s="64" t="s">
        <v>559</v>
      </c>
      <c r="O68" s="253" t="s">
        <v>993</v>
      </c>
      <c r="P68" s="69"/>
      <c r="Q68" s="2">
        <f t="shared" ref="Q68:Q131" si="6">Q67</f>
        <v>1</v>
      </c>
      <c r="R68" s="221">
        <f t="shared" si="5"/>
        <v>23.712121212121211</v>
      </c>
    </row>
    <row r="69" spans="1:18" x14ac:dyDescent="0.3">
      <c r="A69" s="80">
        <v>1.0309999999999966</v>
      </c>
      <c r="B69" s="59" t="s">
        <v>5</v>
      </c>
      <c r="C69" s="59" t="s">
        <v>33</v>
      </c>
      <c r="D69" s="118">
        <v>38</v>
      </c>
      <c r="E69" s="118">
        <v>17</v>
      </c>
      <c r="F69" s="59"/>
      <c r="G69" s="59" t="s">
        <v>415</v>
      </c>
      <c r="H69" s="60">
        <f>IF(B69="Projects","N/A",IF(B69="Served","N/A",('Cost Basis'!E$3+('Cost Basis'!C$3*Model!D69))*(1+'Cost Basis'!F$3)))</f>
        <v>478500.00000000006</v>
      </c>
      <c r="I69" s="123" t="s">
        <v>414</v>
      </c>
      <c r="J69" s="59" t="s">
        <v>22</v>
      </c>
      <c r="K69" s="61">
        <f>32.9*5280</f>
        <v>173712</v>
      </c>
      <c r="L69" s="62">
        <f ca="1">IF(K69=0,"N/A",(LOOKUP(I69,'Cost Basis'!A$4:A$15,'Cost Basis'!E$4:E$15)+IF(LOOKUP(Model!I69,'Cost Basis'!A$4:A$11)=I69,LOOKUP(Model!I69,'Cost Basis'!A$4:A$11,'Cost Basis'!C$4:C$11)*Model!K69*(1+LOOKUP(I69,'Cost Basis'!A$4:A$15,'Cost Basis'!F$3:F$15)),LOOKUP(Model!I69,'Cost Basis'!A$4:A$15,'Cost Basis'!C$4:C$15)*ROUNDUP(Model!K69/5280/30,0))*(1+LOOKUP(I69,'Cost Basis'!A$4:A$15,'Cost Basis'!F$4:F$15))))</f>
        <v>6454596.4800000014</v>
      </c>
      <c r="M69" s="264">
        <f t="shared" ca="1" si="4"/>
        <v>6933096.4800000014</v>
      </c>
      <c r="N69" s="64" t="s">
        <v>571</v>
      </c>
      <c r="O69" s="253" t="s">
        <v>993</v>
      </c>
      <c r="P69" s="69"/>
      <c r="Q69" s="2">
        <f t="shared" si="6"/>
        <v>1</v>
      </c>
      <c r="R69" s="221">
        <f t="shared" si="5"/>
        <v>32.9</v>
      </c>
    </row>
    <row r="70" spans="1:18" x14ac:dyDescent="0.3">
      <c r="A70" s="80">
        <v>1.0159999999999982</v>
      </c>
      <c r="B70" s="59" t="s">
        <v>5</v>
      </c>
      <c r="C70" s="59" t="s">
        <v>19</v>
      </c>
      <c r="D70" s="118">
        <v>19</v>
      </c>
      <c r="E70" s="118">
        <v>4</v>
      </c>
      <c r="F70" s="59"/>
      <c r="G70" s="59" t="s">
        <v>415</v>
      </c>
      <c r="H70" s="60">
        <f>IF(B70="Projects","N/A",IF(B70="Served","N/A",('Cost Basis'!E$3+('Cost Basis'!C$3*Model!D70))*(1+'Cost Basis'!F$3)))</f>
        <v>321750</v>
      </c>
      <c r="I70" s="123" t="s">
        <v>421</v>
      </c>
      <c r="J70" s="59" t="s">
        <v>498</v>
      </c>
      <c r="K70" s="61">
        <v>160000</v>
      </c>
      <c r="L70" s="62">
        <f ca="1">IF(K70=0,"N/A",(LOOKUP(I70,'Cost Basis'!A$4:A$15,'Cost Basis'!E$4:E$15)+IF(LOOKUP(Model!I70,'Cost Basis'!A$4:A$11)=I70,LOOKUP(Model!I70,'Cost Basis'!A$4:A$11,'Cost Basis'!C$4:C$11)*Model!K70*(1+LOOKUP(I70,'Cost Basis'!A$4:A$15,'Cost Basis'!F$3:F$15)),LOOKUP(Model!I70,'Cost Basis'!A$4:A$15,'Cost Basis'!C$4:C$15)*ROUNDUP(Model!K70/5280/30,0))*(1+LOOKUP(I70,'Cost Basis'!A$4:A$15,'Cost Basis'!F$4:F$15))))</f>
        <v>6900800</v>
      </c>
      <c r="M70" s="264">
        <f t="shared" ca="1" si="4"/>
        <v>7222550</v>
      </c>
      <c r="N70" s="64" t="s">
        <v>519</v>
      </c>
      <c r="O70" s="253" t="s">
        <v>993</v>
      </c>
      <c r="P70" s="69"/>
      <c r="Q70" s="2">
        <f t="shared" si="6"/>
        <v>1</v>
      </c>
      <c r="R70" s="221">
        <f t="shared" si="5"/>
        <v>30.303030303030305</v>
      </c>
    </row>
    <row r="71" spans="1:18" x14ac:dyDescent="0.3">
      <c r="A71" s="80">
        <v>1.0161</v>
      </c>
      <c r="B71" s="59" t="s">
        <v>5</v>
      </c>
      <c r="C71" s="59" t="s">
        <v>19</v>
      </c>
      <c r="D71" s="127"/>
      <c r="E71" s="127"/>
      <c r="F71" s="59"/>
      <c r="G71" s="59" t="s">
        <v>415</v>
      </c>
      <c r="H71" s="60">
        <f>IF(B71="Projects","N/A",IF(B71="Served","N/A",('Cost Basis'!E$3+('Cost Basis'!C$3*Model!D71))*(1+'Cost Basis'!F$3)))</f>
        <v>165000</v>
      </c>
      <c r="I71" s="123" t="s">
        <v>416</v>
      </c>
      <c r="J71" s="59" t="s">
        <v>498</v>
      </c>
      <c r="K71" s="61">
        <v>24100</v>
      </c>
      <c r="L71" s="62">
        <f ca="1">IF(K71=0,"N/A",(LOOKUP(I71,'Cost Basis'!A$4:A$15,'Cost Basis'!E$4:E$15)+IF(LOOKUP(Model!I71,'Cost Basis'!A$4:A$11)=I71,LOOKUP(Model!I71,'Cost Basis'!A$4:A$11,'Cost Basis'!C$4:C$11)*Model!K71*(1+LOOKUP(I71,'Cost Basis'!A$4:A$15,'Cost Basis'!F$3:F$15)),LOOKUP(Model!I71,'Cost Basis'!A$4:A$15,'Cost Basis'!C$4:C$15)*ROUNDUP(Model!K71/5280/30,0))*(1+LOOKUP(I71,'Cost Basis'!A$4:A$15,'Cost Basis'!F$4:F$15))))</f>
        <v>2490635</v>
      </c>
      <c r="M71" s="264">
        <f t="shared" ca="1" si="4"/>
        <v>2655635</v>
      </c>
      <c r="N71" s="64" t="s">
        <v>519</v>
      </c>
      <c r="O71" s="253" t="s">
        <v>993</v>
      </c>
      <c r="P71" s="69" t="s">
        <v>707</v>
      </c>
      <c r="Q71" s="2">
        <f t="shared" si="6"/>
        <v>1</v>
      </c>
      <c r="R71" s="221">
        <f t="shared" si="5"/>
        <v>4.5643939393939394</v>
      </c>
    </row>
    <row r="72" spans="1:18" x14ac:dyDescent="0.3">
      <c r="A72" s="80">
        <v>1.0199999999999978</v>
      </c>
      <c r="B72" s="59" t="s">
        <v>5</v>
      </c>
      <c r="C72" s="59" t="s">
        <v>23</v>
      </c>
      <c r="D72" s="118">
        <v>85</v>
      </c>
      <c r="E72" s="118">
        <v>40</v>
      </c>
      <c r="F72" s="59"/>
      <c r="G72" s="59" t="s">
        <v>415</v>
      </c>
      <c r="H72" s="60">
        <f>IF(B72="Projects","N/A",IF(B72="Served","N/A",('Cost Basis'!E$3+('Cost Basis'!C$3*Model!D72))*(1+'Cost Basis'!F$3)))</f>
        <v>866250.00000000012</v>
      </c>
      <c r="I72" s="123" t="s">
        <v>421</v>
      </c>
      <c r="J72" s="59" t="s">
        <v>224</v>
      </c>
      <c r="K72" s="61">
        <v>244300</v>
      </c>
      <c r="L72" s="62">
        <f ca="1">IF(K72=0,"N/A",(LOOKUP(I72,'Cost Basis'!A$4:A$15,'Cost Basis'!E$4:E$15)+IF(LOOKUP(Model!I72,'Cost Basis'!A$4:A$11)=I72,LOOKUP(Model!I72,'Cost Basis'!A$4:A$11,'Cost Basis'!C$4:C$11)*Model!K72*(1+LOOKUP(I72,'Cost Basis'!A$4:A$15,'Cost Basis'!F$3:F$15)),LOOKUP(Model!I72,'Cost Basis'!A$4:A$15,'Cost Basis'!C$4:C$15)*ROUNDUP(Model!K72/5280/30,0))*(1+LOOKUP(I72,'Cost Basis'!A$4:A$15,'Cost Basis'!F$4:F$15))))</f>
        <v>9756884.0000000019</v>
      </c>
      <c r="M72" s="264">
        <f t="shared" ca="1" si="4"/>
        <v>10623134.000000002</v>
      </c>
      <c r="N72" s="64" t="s">
        <v>539</v>
      </c>
      <c r="O72" s="253" t="s">
        <v>993</v>
      </c>
      <c r="P72" s="69"/>
      <c r="Q72" s="2">
        <f t="shared" si="6"/>
        <v>1</v>
      </c>
      <c r="R72" s="221">
        <f t="shared" si="5"/>
        <v>46.268939393939391</v>
      </c>
    </row>
    <row r="73" spans="1:18" x14ac:dyDescent="0.3">
      <c r="A73" s="80">
        <v>1.1929999999999787</v>
      </c>
      <c r="B73" s="59" t="s">
        <v>5</v>
      </c>
      <c r="C73" s="59" t="s">
        <v>193</v>
      </c>
      <c r="D73" s="118">
        <v>76</v>
      </c>
      <c r="E73" s="118">
        <v>39</v>
      </c>
      <c r="F73" s="59"/>
      <c r="G73" s="59" t="s">
        <v>415</v>
      </c>
      <c r="H73" s="60">
        <f>IF(B73="Projects","N/A",IF(B73="Served","N/A",('Cost Basis'!E$3+('Cost Basis'!C$3*Model!D73))*(1+'Cost Basis'!F$3)))</f>
        <v>792000.00000000012</v>
      </c>
      <c r="I73" s="123" t="s">
        <v>411</v>
      </c>
      <c r="J73" s="59" t="s">
        <v>224</v>
      </c>
      <c r="K73" s="61">
        <v>323600</v>
      </c>
      <c r="L73" s="62">
        <f ca="1">IF(K73=0,"N/A",(LOOKUP(I73,'Cost Basis'!A$4:A$15,'Cost Basis'!E$4:E$15)+IF(LOOKUP(Model!I73,'Cost Basis'!A$4:A$11)=I73,LOOKUP(Model!I73,'Cost Basis'!A$4:A$11,'Cost Basis'!C$4:C$11)*Model!K73*(1+LOOKUP(I73,'Cost Basis'!A$4:A$15,'Cost Basis'!F$3:F$15)),LOOKUP(Model!I73,'Cost Basis'!A$4:A$15,'Cost Basis'!C$4:C$15)*ROUNDUP(Model!K73/5280/30,0))*(1+LOOKUP(I73,'Cost Basis'!A$4:A$15,'Cost Basis'!F$4:F$15))))</f>
        <v>15204460.000000004</v>
      </c>
      <c r="M73" s="264">
        <f t="shared" ca="1" si="4"/>
        <v>15996460.000000004</v>
      </c>
      <c r="N73" s="64" t="s">
        <v>568</v>
      </c>
      <c r="O73" s="253" t="s">
        <v>993</v>
      </c>
      <c r="P73" s="69"/>
      <c r="Q73" s="2">
        <f t="shared" si="6"/>
        <v>1</v>
      </c>
      <c r="R73" s="221">
        <f t="shared" si="5"/>
        <v>61.287878787878789</v>
      </c>
    </row>
    <row r="74" spans="1:18" x14ac:dyDescent="0.3">
      <c r="A74" s="80">
        <v>1.008999999999999</v>
      </c>
      <c r="B74" s="59" t="s">
        <v>5</v>
      </c>
      <c r="C74" s="59" t="s">
        <v>14</v>
      </c>
      <c r="D74" s="118">
        <v>96</v>
      </c>
      <c r="E74" s="118">
        <v>70</v>
      </c>
      <c r="F74" s="59"/>
      <c r="G74" s="59" t="s">
        <v>415</v>
      </c>
      <c r="H74" s="60">
        <f>IF(B74="Projects","N/A",IF(B74="Served","N/A",('Cost Basis'!E$3+('Cost Basis'!C$3*Model!D74))*(1+'Cost Basis'!F$3)))</f>
        <v>957000.00000000012</v>
      </c>
      <c r="I74" s="123" t="s">
        <v>411</v>
      </c>
      <c r="J74" s="59" t="s">
        <v>193</v>
      </c>
      <c r="K74" s="61">
        <v>491400</v>
      </c>
      <c r="L74" s="62">
        <f ca="1">IF(K74=0,"N/A",(LOOKUP(I74,'Cost Basis'!A$4:A$15,'Cost Basis'!E$4:E$15)+IF(LOOKUP(Model!I74,'Cost Basis'!A$4:A$11)=I74,LOOKUP(Model!I74,'Cost Basis'!A$4:A$11,'Cost Basis'!C$4:C$11)*Model!K74*(1+LOOKUP(I74,'Cost Basis'!A$4:A$15,'Cost Basis'!F$3:F$15)),LOOKUP(Model!I74,'Cost Basis'!A$4:A$15,'Cost Basis'!C$4:C$15)*ROUNDUP(Model!K74/5280/30,0))*(1+LOOKUP(I74,'Cost Basis'!A$4:A$15,'Cost Basis'!F$4:F$15))))</f>
        <v>22310790</v>
      </c>
      <c r="M74" s="264">
        <f t="shared" ca="1" si="4"/>
        <v>23267790</v>
      </c>
      <c r="N74" s="64" t="s">
        <v>569</v>
      </c>
      <c r="O74" s="253" t="s">
        <v>993</v>
      </c>
      <c r="P74" s="69"/>
      <c r="Q74" s="2">
        <f t="shared" si="6"/>
        <v>1</v>
      </c>
      <c r="R74" s="221">
        <f t="shared" si="5"/>
        <v>93.068181818181813</v>
      </c>
    </row>
    <row r="75" spans="1:18" x14ac:dyDescent="0.3">
      <c r="A75" s="80">
        <v>1.0249999999999972</v>
      </c>
      <c r="B75" s="59" t="s">
        <v>5</v>
      </c>
      <c r="C75" s="59" t="s">
        <v>28</v>
      </c>
      <c r="D75" s="118">
        <v>19</v>
      </c>
      <c r="E75" s="118">
        <v>7</v>
      </c>
      <c r="F75" s="59"/>
      <c r="G75" s="59" t="s">
        <v>415</v>
      </c>
      <c r="H75" s="60">
        <f>IF(B75="Projects","N/A",IF(B75="Served","N/A",('Cost Basis'!E$3+('Cost Basis'!C$3*Model!D75))*(1+'Cost Basis'!F$3)))</f>
        <v>321750</v>
      </c>
      <c r="I75" s="123" t="s">
        <v>414</v>
      </c>
      <c r="J75" s="59" t="s">
        <v>423</v>
      </c>
      <c r="K75" s="61">
        <f>64.8*5280</f>
        <v>342144</v>
      </c>
      <c r="L75" s="62">
        <f ca="1">IF(K75=0,"N/A",(LOOKUP(I75,'Cost Basis'!A$4:A$15,'Cost Basis'!E$4:E$15)+IF(LOOKUP(Model!I75,'Cost Basis'!A$4:A$11)=I75,LOOKUP(Model!I75,'Cost Basis'!A$4:A$11,'Cost Basis'!C$4:C$11)*Model!K75*(1+LOOKUP(I75,'Cost Basis'!A$4:A$15,'Cost Basis'!F$3:F$15)),LOOKUP(Model!I75,'Cost Basis'!A$4:A$15,'Cost Basis'!C$4:C$15)*ROUNDUP(Model!K75/5280/30,0))*(1+LOOKUP(I75,'Cost Basis'!A$4:A$15,'Cost Basis'!F$4:F$15))))</f>
        <v>11345861.760000002</v>
      </c>
      <c r="M75" s="264">
        <f t="shared" ca="1" si="4"/>
        <v>11667611.760000002</v>
      </c>
      <c r="N75" s="64" t="s">
        <v>521</v>
      </c>
      <c r="O75" s="253" t="s">
        <v>993</v>
      </c>
      <c r="P75" s="69"/>
      <c r="Q75" s="2">
        <f t="shared" si="6"/>
        <v>1</v>
      </c>
      <c r="R75" s="221">
        <f t="shared" si="5"/>
        <v>64.8</v>
      </c>
    </row>
    <row r="76" spans="1:18" x14ac:dyDescent="0.3">
      <c r="A76" s="80">
        <v>1.0429999999999953</v>
      </c>
      <c r="B76" s="59" t="s">
        <v>5</v>
      </c>
      <c r="C76" s="59" t="s">
        <v>45</v>
      </c>
      <c r="D76" s="118">
        <v>168</v>
      </c>
      <c r="E76" s="118">
        <v>48</v>
      </c>
      <c r="F76" s="59"/>
      <c r="G76" s="59" t="s">
        <v>415</v>
      </c>
      <c r="H76" s="60">
        <f>IF(B76="Projects","N/A",IF(B76="Served","N/A",('Cost Basis'!E$3+('Cost Basis'!C$3*Model!D76))*(1+'Cost Basis'!F$3)))</f>
        <v>1551000.0000000002</v>
      </c>
      <c r="I76" s="123" t="s">
        <v>414</v>
      </c>
      <c r="J76" s="59" t="s">
        <v>28</v>
      </c>
      <c r="K76" s="61">
        <v>480500</v>
      </c>
      <c r="L76" s="62">
        <f ca="1">IF(K76=0,"N/A",(LOOKUP(I76,'Cost Basis'!A$4:A$15,'Cost Basis'!E$4:E$15)+IF(LOOKUP(Model!I76,'Cost Basis'!A$4:A$11)=I76,LOOKUP(Model!I76,'Cost Basis'!A$4:A$11,'Cost Basis'!C$4:C$11)*Model!K76*(1+LOOKUP(I76,'Cost Basis'!A$4:A$15,'Cost Basis'!F$3:F$15)),LOOKUP(Model!I76,'Cost Basis'!A$4:A$15,'Cost Basis'!C$4:C$15)*ROUNDUP(Model!K76/5280/30,0))*(1+LOOKUP(I76,'Cost Basis'!A$4:A$15,'Cost Basis'!F$4:F$15))))</f>
        <v>15363720.000000004</v>
      </c>
      <c r="M76" s="264">
        <f t="shared" ca="1" si="4"/>
        <v>16914720.000000004</v>
      </c>
      <c r="N76" s="64" t="s">
        <v>542</v>
      </c>
      <c r="O76" s="253" t="s">
        <v>993</v>
      </c>
      <c r="P76" s="69"/>
      <c r="Q76" s="2">
        <f t="shared" si="6"/>
        <v>1</v>
      </c>
      <c r="R76" s="221">
        <f t="shared" si="5"/>
        <v>91.003787878787875</v>
      </c>
    </row>
    <row r="77" spans="1:18" x14ac:dyDescent="0.3">
      <c r="A77" s="80">
        <v>1.044999999999995</v>
      </c>
      <c r="B77" s="59" t="s">
        <v>5</v>
      </c>
      <c r="C77" s="59" t="s">
        <v>47</v>
      </c>
      <c r="D77" s="118">
        <v>59</v>
      </c>
      <c r="E77" s="118">
        <v>22</v>
      </c>
      <c r="F77" s="59"/>
      <c r="G77" s="59" t="s">
        <v>415</v>
      </c>
      <c r="H77" s="60">
        <f>IF(B77="Projects","N/A",IF(B77="Served","N/A",('Cost Basis'!E$3+('Cost Basis'!C$3*Model!D77))*(1+'Cost Basis'!F$3)))</f>
        <v>651750</v>
      </c>
      <c r="I77" s="123" t="s">
        <v>414</v>
      </c>
      <c r="J77" s="59" t="s">
        <v>45</v>
      </c>
      <c r="K77" s="61">
        <v>35400</v>
      </c>
      <c r="L77" s="62">
        <f ca="1">IF(K77=0,"N/A",(LOOKUP(I77,'Cost Basis'!A$4:A$15,'Cost Basis'!E$4:E$15)+IF(LOOKUP(Model!I77,'Cost Basis'!A$4:A$11)=I77,LOOKUP(Model!I77,'Cost Basis'!A$4:A$11,'Cost Basis'!C$4:C$11)*Model!K77*(1+LOOKUP(I77,'Cost Basis'!A$4:A$15,'Cost Basis'!F$3:F$15)),LOOKUP(Model!I77,'Cost Basis'!A$4:A$15,'Cost Basis'!C$4:C$15)*ROUNDUP(Model!K77/5280/30,0))*(1+LOOKUP(I77,'Cost Basis'!A$4:A$15,'Cost Basis'!F$4:F$15))))</f>
        <v>2438016</v>
      </c>
      <c r="M77" s="264">
        <f t="shared" ca="1" si="4"/>
        <v>3089766</v>
      </c>
      <c r="N77" s="64" t="s">
        <v>561</v>
      </c>
      <c r="O77" s="253" t="s">
        <v>993</v>
      </c>
      <c r="P77" s="69"/>
      <c r="Q77" s="2">
        <f t="shared" si="6"/>
        <v>1</v>
      </c>
      <c r="R77" s="221">
        <f t="shared" si="5"/>
        <v>6.7045454545454541</v>
      </c>
    </row>
    <row r="78" spans="1:18" x14ac:dyDescent="0.3">
      <c r="A78" s="80">
        <v>2.0109999999999988</v>
      </c>
      <c r="B78" s="59" t="s">
        <v>202</v>
      </c>
      <c r="C78" s="59" t="s">
        <v>213</v>
      </c>
      <c r="D78" s="118">
        <v>75</v>
      </c>
      <c r="E78" s="118">
        <v>59</v>
      </c>
      <c r="F78" s="59"/>
      <c r="G78" s="59" t="s">
        <v>415</v>
      </c>
      <c r="H78" s="60">
        <f>IF(B78="Projects","N/A",IF(B78="Served","N/A",('Cost Basis'!E$3+('Cost Basis'!C$3*Model!D78))*(1+'Cost Basis'!F$3)))</f>
        <v>783750.00000000012</v>
      </c>
      <c r="I78" s="123" t="s">
        <v>414</v>
      </c>
      <c r="J78" s="59" t="s">
        <v>466</v>
      </c>
      <c r="K78" s="61">
        <v>107400</v>
      </c>
      <c r="L78" s="62">
        <f ca="1">IF(K78=0,"N/A",(LOOKUP(I78,'Cost Basis'!A$4:A$15,'Cost Basis'!E$4:E$15)+IF(LOOKUP(Model!I78,'Cost Basis'!A$4:A$11)=I78,LOOKUP(Model!I78,'Cost Basis'!A$4:A$11,'Cost Basis'!C$4:C$11)*Model!K78*(1+LOOKUP(I78,'Cost Basis'!A$4:A$15,'Cost Basis'!F$3:F$15)),LOOKUP(Model!I78,'Cost Basis'!A$4:A$15,'Cost Basis'!C$4:C$15)*ROUNDUP(Model!K78/5280/30,0))*(1+LOOKUP(I78,'Cost Basis'!A$4:A$15,'Cost Basis'!F$4:F$15))))</f>
        <v>4528896</v>
      </c>
      <c r="M78" s="264">
        <f t="shared" ca="1" si="4"/>
        <v>5312646</v>
      </c>
      <c r="N78" s="64" t="s">
        <v>537</v>
      </c>
      <c r="O78" s="253" t="s">
        <v>993</v>
      </c>
      <c r="P78" s="69"/>
      <c r="Q78" s="2">
        <f t="shared" si="6"/>
        <v>1</v>
      </c>
      <c r="R78" s="221">
        <f t="shared" si="5"/>
        <v>20.34090909090909</v>
      </c>
    </row>
    <row r="79" spans="1:18" x14ac:dyDescent="0.3">
      <c r="A79" s="80">
        <v>1.108999999999988</v>
      </c>
      <c r="B79" s="59" t="s">
        <v>5</v>
      </c>
      <c r="C79" s="59" t="s">
        <v>110</v>
      </c>
      <c r="D79" s="119">
        <v>-20</v>
      </c>
      <c r="E79" s="119"/>
      <c r="F79" s="59"/>
      <c r="G79" s="59" t="s">
        <v>415</v>
      </c>
      <c r="H79" s="60">
        <f>IF(B79="Projects","N/A",IF(B79="Served","N/A",('Cost Basis'!E$3+('Cost Basis'!C$3*Model!D79))*(1+'Cost Basis'!F$3)))</f>
        <v>0</v>
      </c>
      <c r="I79" s="124"/>
      <c r="J79" s="88" t="s">
        <v>403</v>
      </c>
      <c r="K79" s="61"/>
      <c r="L79" s="62" t="str">
        <f>IF(K79=0,"N/A",(LOOKUP(I79,'Cost Basis'!A$4:A$15,'Cost Basis'!E$4:E$15)+IF(LOOKUP(Model!I79,'Cost Basis'!A$4:A$11)=I79,LOOKUP(Model!I79,'Cost Basis'!A$4:A$11,'Cost Basis'!C$4:C$11)*Model!K79*(1+LOOKUP(I79,'Cost Basis'!A$4:A$15,'Cost Basis'!F$3:F$15)),LOOKUP(Model!I79,'Cost Basis'!A$4:A$15,'Cost Basis'!C$4:C$15)*ROUNDUP(Model!K79/5280/30,0))*(1+LOOKUP(I79,'Cost Basis'!A$4:A$15,'Cost Basis'!F$4:F$15))))</f>
        <v>N/A</v>
      </c>
      <c r="M79" s="264">
        <f t="shared" ref="M79:M90" si="7">IF(L79="N/A",H79,H79+L79)</f>
        <v>0</v>
      </c>
      <c r="N79" s="64" t="s">
        <v>601</v>
      </c>
      <c r="O79" s="253" t="s">
        <v>993</v>
      </c>
      <c r="P79" s="69" t="s">
        <v>962</v>
      </c>
      <c r="Q79" s="2">
        <f t="shared" si="6"/>
        <v>1</v>
      </c>
      <c r="R79" s="221">
        <f t="shared" si="5"/>
        <v>0</v>
      </c>
    </row>
    <row r="80" spans="1:18" x14ac:dyDescent="0.3">
      <c r="A80" s="80">
        <v>1.1099999999999879</v>
      </c>
      <c r="B80" s="59" t="s">
        <v>5</v>
      </c>
      <c r="C80" s="59" t="s">
        <v>111</v>
      </c>
      <c r="D80" s="118">
        <v>125</v>
      </c>
      <c r="E80" s="118">
        <v>62</v>
      </c>
      <c r="F80" s="59"/>
      <c r="G80" s="59" t="s">
        <v>415</v>
      </c>
      <c r="H80" s="60">
        <f>IF(B80="Projects","N/A",IF(B80="Served","N/A",('Cost Basis'!E$3+('Cost Basis'!C$3*Model!D80))*(1+'Cost Basis'!F$3)))</f>
        <v>1196250</v>
      </c>
      <c r="I80" s="123" t="s">
        <v>414</v>
      </c>
      <c r="J80" s="59" t="s">
        <v>452</v>
      </c>
      <c r="K80" s="61">
        <v>51000</v>
      </c>
      <c r="L80" s="62">
        <f ca="1">IF(K80=0,"N/A",(LOOKUP(I80,'Cost Basis'!A$4:A$15,'Cost Basis'!E$4:E$15)+IF(LOOKUP(Model!I80,'Cost Basis'!A$4:A$11)=I80,LOOKUP(Model!I80,'Cost Basis'!A$4:A$11,'Cost Basis'!C$4:C$11)*Model!K80*(1+LOOKUP(I80,'Cost Basis'!A$4:A$15,'Cost Basis'!F$3:F$15)),LOOKUP(Model!I80,'Cost Basis'!A$4:A$15,'Cost Basis'!C$4:C$15)*ROUNDUP(Model!K80/5280/30,0))*(1+LOOKUP(I80,'Cost Basis'!A$4:A$15,'Cost Basis'!F$4:F$15))))</f>
        <v>2891040</v>
      </c>
      <c r="M80" s="264">
        <f t="shared" ref="M80:M89" ca="1" si="8">IF(L80="N/A",H80,H80+L80)</f>
        <v>4087290</v>
      </c>
      <c r="N80" s="64" t="s">
        <v>552</v>
      </c>
      <c r="O80" s="253" t="s">
        <v>993</v>
      </c>
      <c r="P80" s="69"/>
      <c r="Q80" s="2">
        <f t="shared" si="6"/>
        <v>1</v>
      </c>
      <c r="R80" s="221">
        <f t="shared" si="5"/>
        <v>9.6590909090909083</v>
      </c>
    </row>
    <row r="81" spans="1:18" x14ac:dyDescent="0.3">
      <c r="A81" s="80">
        <v>1.1729999999999809</v>
      </c>
      <c r="B81" s="59" t="s">
        <v>5</v>
      </c>
      <c r="C81" s="59" t="s">
        <v>173</v>
      </c>
      <c r="D81" s="118">
        <v>18</v>
      </c>
      <c r="E81" s="118">
        <v>13</v>
      </c>
      <c r="F81" s="59"/>
      <c r="G81" s="59" t="s">
        <v>415</v>
      </c>
      <c r="H81" s="60">
        <f>IF(B81="Projects","N/A",IF(B81="Served","N/A",('Cost Basis'!E$3+('Cost Basis'!C$3*Model!D81))*(1+'Cost Basis'!F$3)))</f>
        <v>313500</v>
      </c>
      <c r="I81" s="123" t="s">
        <v>414</v>
      </c>
      <c r="J81" s="59" t="s">
        <v>417</v>
      </c>
      <c r="K81" s="61">
        <v>6000</v>
      </c>
      <c r="L81" s="62">
        <f ca="1">IF(K81=0,"N/A",(LOOKUP(I81,'Cost Basis'!A$4:A$15,'Cost Basis'!E$4:E$15)+IF(LOOKUP(Model!I81,'Cost Basis'!A$4:A$11)=I81,LOOKUP(Model!I81,'Cost Basis'!A$4:A$11,'Cost Basis'!C$4:C$11)*Model!K81*(1+LOOKUP(I81,'Cost Basis'!A$4:A$15,'Cost Basis'!F$3:F$15)),LOOKUP(Model!I81,'Cost Basis'!A$4:A$15,'Cost Basis'!C$4:C$15)*ROUNDUP(Model!K81/5280/30,0))*(1+LOOKUP(I81,'Cost Basis'!A$4:A$15,'Cost Basis'!F$4:F$15))))</f>
        <v>1584240</v>
      </c>
      <c r="M81" s="264">
        <f t="shared" ca="1" si="8"/>
        <v>1897740</v>
      </c>
      <c r="N81" s="64" t="s">
        <v>514</v>
      </c>
      <c r="O81" s="253" t="s">
        <v>993</v>
      </c>
      <c r="P81" s="69"/>
      <c r="Q81" s="2">
        <f t="shared" si="6"/>
        <v>1</v>
      </c>
      <c r="R81" s="221">
        <f t="shared" si="5"/>
        <v>1.1363636363636365</v>
      </c>
    </row>
    <row r="82" spans="1:18" x14ac:dyDescent="0.3">
      <c r="A82" s="80">
        <v>1.026999999999997</v>
      </c>
      <c r="B82" s="59" t="s">
        <v>5</v>
      </c>
      <c r="C82" s="59" t="s">
        <v>30</v>
      </c>
      <c r="D82" s="118">
        <v>0</v>
      </c>
      <c r="E82" s="118"/>
      <c r="F82" s="59"/>
      <c r="G82" s="59" t="s">
        <v>415</v>
      </c>
      <c r="H82" s="60">
        <f>IF(B82="Projects","N/A",IF(B82="Served","N/A",('Cost Basis'!E$3+('Cost Basis'!C$3*Model!D82))*(1+'Cost Basis'!F$3)))</f>
        <v>165000</v>
      </c>
      <c r="I82" s="123" t="s">
        <v>411</v>
      </c>
      <c r="J82" s="59" t="s">
        <v>423</v>
      </c>
      <c r="K82" s="61">
        <v>348800</v>
      </c>
      <c r="L82" s="62">
        <f ca="1">IF(K82=0,"N/A",(LOOKUP(I82,'Cost Basis'!A$4:A$15,'Cost Basis'!E$4:E$15)+IF(LOOKUP(Model!I82,'Cost Basis'!A$4:A$11)=I82,LOOKUP(Model!I82,'Cost Basis'!A$4:A$11,'Cost Basis'!C$4:C$11)*Model!K82*(1+LOOKUP(I82,'Cost Basis'!A$4:A$15,'Cost Basis'!F$3:F$15)),LOOKUP(Model!I82,'Cost Basis'!A$4:A$15,'Cost Basis'!C$4:C$15)*ROUNDUP(Model!K82/5280/30,0))*(1+LOOKUP(I82,'Cost Basis'!A$4:A$15,'Cost Basis'!F$4:F$15))))</f>
        <v>16271680.000000004</v>
      </c>
      <c r="M82" s="264">
        <f t="shared" ca="1" si="8"/>
        <v>16436680.000000004</v>
      </c>
      <c r="N82" s="64" t="s">
        <v>540</v>
      </c>
      <c r="O82" s="253" t="s">
        <v>993</v>
      </c>
      <c r="P82" s="69"/>
      <c r="Q82" s="2">
        <f t="shared" si="6"/>
        <v>1</v>
      </c>
      <c r="R82" s="221">
        <f t="shared" si="5"/>
        <v>66.060606060606062</v>
      </c>
    </row>
    <row r="83" spans="1:18" x14ac:dyDescent="0.3">
      <c r="A83" s="80">
        <v>1.099999999999989</v>
      </c>
      <c r="B83" s="59" t="s">
        <v>5</v>
      </c>
      <c r="C83" s="59" t="s">
        <v>101</v>
      </c>
      <c r="D83" s="118">
        <v>33</v>
      </c>
      <c r="E83" s="118">
        <v>0</v>
      </c>
      <c r="F83" s="59"/>
      <c r="G83" s="59" t="s">
        <v>415</v>
      </c>
      <c r="H83" s="60">
        <f>IF(B83="Projects","N/A",IF(B83="Served","N/A",('Cost Basis'!E$3+('Cost Basis'!C$3*Model!D83))*(1+'Cost Basis'!F$3)))</f>
        <v>437250.00000000006</v>
      </c>
      <c r="I83" s="123" t="s">
        <v>414</v>
      </c>
      <c r="J83" s="59" t="s">
        <v>157</v>
      </c>
      <c r="K83" s="61">
        <v>210573</v>
      </c>
      <c r="L83" s="62">
        <f ca="1">IF(K83=0,"N/A",(LOOKUP(I83,'Cost Basis'!A$4:A$15,'Cost Basis'!E$4:E$15)+IF(LOOKUP(Model!I83,'Cost Basis'!A$4:A$11)=I83,LOOKUP(Model!I83,'Cost Basis'!A$4:A$11,'Cost Basis'!C$4:C$11)*Model!K83*(1+LOOKUP(I83,'Cost Basis'!A$4:A$15,'Cost Basis'!F$3:F$15)),LOOKUP(Model!I83,'Cost Basis'!A$4:A$15,'Cost Basis'!C$4:C$15)*ROUNDUP(Model!K83/5280/30,0))*(1+LOOKUP(I83,'Cost Basis'!A$4:A$15,'Cost Basis'!F$4:F$15))))</f>
        <v>7525039.9200000009</v>
      </c>
      <c r="M83" s="264">
        <f t="shared" ca="1" si="8"/>
        <v>7962289.9200000009</v>
      </c>
      <c r="N83" s="64" t="s">
        <v>530</v>
      </c>
      <c r="O83" s="253" t="s">
        <v>993</v>
      </c>
      <c r="P83" s="69"/>
      <c r="Q83" s="2">
        <f t="shared" si="6"/>
        <v>1</v>
      </c>
      <c r="R83" s="221">
        <f t="shared" si="5"/>
        <v>39.881250000000001</v>
      </c>
    </row>
    <row r="84" spans="1:18" x14ac:dyDescent="0.3">
      <c r="A84" s="80">
        <v>1.0809999999999911</v>
      </c>
      <c r="B84" s="59" t="s">
        <v>5</v>
      </c>
      <c r="C84" s="59" t="s">
        <v>83</v>
      </c>
      <c r="D84" s="118">
        <v>363</v>
      </c>
      <c r="E84" s="118" t="s">
        <v>18</v>
      </c>
      <c r="F84" s="59"/>
      <c r="G84" s="59" t="s">
        <v>415</v>
      </c>
      <c r="H84" s="60">
        <f>IF(B84="Projects","N/A",IF(B84="Served","N/A",('Cost Basis'!E$3+('Cost Basis'!C$3*Model!D84))*(1+'Cost Basis'!F$3)))</f>
        <v>3159750.0000000005</v>
      </c>
      <c r="I84" s="123" t="s">
        <v>414</v>
      </c>
      <c r="J84" s="59" t="s">
        <v>445</v>
      </c>
      <c r="K84" s="61">
        <v>43844</v>
      </c>
      <c r="L84" s="62">
        <f ca="1">IF(K84=0,"N/A",(LOOKUP(I84,'Cost Basis'!A$4:A$15,'Cost Basis'!E$4:E$15)+IF(LOOKUP(Model!I84,'Cost Basis'!A$4:A$11)=I84,LOOKUP(Model!I84,'Cost Basis'!A$4:A$11,'Cost Basis'!C$4:C$11)*Model!K84*(1+LOOKUP(I84,'Cost Basis'!A$4:A$15,'Cost Basis'!F$3:F$15)),LOOKUP(Model!I84,'Cost Basis'!A$4:A$15,'Cost Basis'!C$4:C$15)*ROUNDUP(Model!K84/5280/30,0))*(1+LOOKUP(I84,'Cost Basis'!A$4:A$15,'Cost Basis'!F$4:F$15))))</f>
        <v>2683229.7600000002</v>
      </c>
      <c r="M84" s="264">
        <f t="shared" ca="1" si="8"/>
        <v>5842979.7600000007</v>
      </c>
      <c r="N84" s="64" t="s">
        <v>527</v>
      </c>
      <c r="O84" s="253" t="s">
        <v>993</v>
      </c>
      <c r="P84" s="69"/>
      <c r="Q84" s="2">
        <f t="shared" si="6"/>
        <v>1</v>
      </c>
      <c r="R84" s="221">
        <f t="shared" si="5"/>
        <v>8.3037878787878796</v>
      </c>
    </row>
    <row r="85" spans="1:18" x14ac:dyDescent="0.3">
      <c r="A85" s="80">
        <v>1.0889999999999902</v>
      </c>
      <c r="B85" s="59" t="s">
        <v>5</v>
      </c>
      <c r="C85" s="59" t="s">
        <v>91</v>
      </c>
      <c r="D85" s="118">
        <v>122</v>
      </c>
      <c r="E85" s="118">
        <v>0</v>
      </c>
      <c r="F85" s="59"/>
      <c r="G85" s="59" t="s">
        <v>415</v>
      </c>
      <c r="H85" s="60">
        <f>IF(B85="Projects","N/A",IF(B85="Served","N/A",('Cost Basis'!E$3+('Cost Basis'!C$3*Model!D85))*(1+'Cost Basis'!F$3)))</f>
        <v>1171500</v>
      </c>
      <c r="I85" s="123" t="s">
        <v>414</v>
      </c>
      <c r="J85" s="59" t="s">
        <v>447</v>
      </c>
      <c r="K85" s="61">
        <v>312500</v>
      </c>
      <c r="L85" s="62">
        <f ca="1">IF(K85=0,"N/A",(LOOKUP(I85,'Cost Basis'!A$4:A$15,'Cost Basis'!E$4:E$15)+IF(LOOKUP(Model!I85,'Cost Basis'!A$4:A$11)=I85,LOOKUP(Model!I85,'Cost Basis'!A$4:A$11,'Cost Basis'!C$4:C$11)*Model!K85*(1+LOOKUP(I85,'Cost Basis'!A$4:A$15,'Cost Basis'!F$3:F$15)),LOOKUP(Model!I85,'Cost Basis'!A$4:A$15,'Cost Basis'!C$4:C$15)*ROUNDUP(Model!K85/5280/30,0))*(1+LOOKUP(I85,'Cost Basis'!A$4:A$15,'Cost Basis'!F$4:F$15))))</f>
        <v>10485000.000000002</v>
      </c>
      <c r="M85" s="264">
        <f t="shared" ca="1" si="8"/>
        <v>11656500.000000002</v>
      </c>
      <c r="N85" s="64" t="s">
        <v>599</v>
      </c>
      <c r="O85" s="253" t="s">
        <v>993</v>
      </c>
      <c r="P85" s="69"/>
      <c r="Q85" s="2">
        <f t="shared" si="6"/>
        <v>1</v>
      </c>
      <c r="R85" s="221">
        <f t="shared" si="5"/>
        <v>59.185606060606062</v>
      </c>
    </row>
    <row r="86" spans="1:18" x14ac:dyDescent="0.3">
      <c r="A86" s="80">
        <v>2.0099999999999989</v>
      </c>
      <c r="B86" s="59" t="s">
        <v>202</v>
      </c>
      <c r="C86" s="59" t="s">
        <v>212</v>
      </c>
      <c r="D86" s="118">
        <v>68</v>
      </c>
      <c r="E86" s="118">
        <v>11</v>
      </c>
      <c r="F86" s="59"/>
      <c r="G86" s="59" t="s">
        <v>415</v>
      </c>
      <c r="H86" s="60">
        <f>IF(B86="Projects","N/A",IF(B86="Served","N/A",('Cost Basis'!E$3+('Cost Basis'!C$3*Model!D86))*(1+'Cost Basis'!F$3)))</f>
        <v>726000.00000000012</v>
      </c>
      <c r="I86" s="123" t="s">
        <v>412</v>
      </c>
      <c r="J86" s="59" t="s">
        <v>386</v>
      </c>
      <c r="K86" s="61">
        <v>154000</v>
      </c>
      <c r="L86" s="62">
        <f ca="1">IF(K86=0,"N/A",(LOOKUP(I86,'Cost Basis'!A$4:A$15,'Cost Basis'!E$4:E$15)+IF(LOOKUP(Model!I86,'Cost Basis'!A$4:A$11)=I86,LOOKUP(Model!I86,'Cost Basis'!A$4:A$11,'Cost Basis'!C$4:C$11)*Model!K86*(1+LOOKUP(I86,'Cost Basis'!A$4:A$15,'Cost Basis'!F$3:F$15)),LOOKUP(Model!I86,'Cost Basis'!A$4:A$15,'Cost Basis'!C$4:C$15)*ROUNDUP(Model!K86/5280/30,0))*(1+LOOKUP(I86,'Cost Basis'!A$4:A$15,'Cost Basis'!F$4:F$15))))</f>
        <v>7672880.0000000009</v>
      </c>
      <c r="M86" s="264">
        <f t="shared" ca="1" si="8"/>
        <v>8398880.0000000019</v>
      </c>
      <c r="N86" s="64" t="s">
        <v>536</v>
      </c>
      <c r="O86" s="253" t="s">
        <v>994</v>
      </c>
      <c r="P86" s="69"/>
      <c r="Q86" s="2">
        <f t="shared" si="6"/>
        <v>1</v>
      </c>
      <c r="R86" s="221">
        <f t="shared" si="5"/>
        <v>29.166666666666668</v>
      </c>
    </row>
    <row r="87" spans="1:18" x14ac:dyDescent="0.3">
      <c r="A87" s="80">
        <v>1.0049999999999994</v>
      </c>
      <c r="B87" s="59" t="s">
        <v>5</v>
      </c>
      <c r="C87" s="59" t="s">
        <v>9</v>
      </c>
      <c r="D87" s="118">
        <f>24+16</f>
        <v>40</v>
      </c>
      <c r="E87" s="118">
        <f>ROUND(37/2.5,0)</f>
        <v>15</v>
      </c>
      <c r="F87" s="59"/>
      <c r="G87" s="59" t="s">
        <v>415</v>
      </c>
      <c r="H87" s="60">
        <f>IF(B87="Projects","N/A",IF(B87="Served","N/A",('Cost Basis'!E$3+('Cost Basis'!C$3*Model!D87))*(1+'Cost Basis'!F$3)))</f>
        <v>495000.00000000006</v>
      </c>
      <c r="I87" s="123" t="s">
        <v>416</v>
      </c>
      <c r="J87" s="59" t="s">
        <v>497</v>
      </c>
      <c r="K87" s="61">
        <v>33700</v>
      </c>
      <c r="L87" s="62">
        <f ca="1">IF(K87=0,"N/A",(LOOKUP(I87,'Cost Basis'!A$4:A$15,'Cost Basis'!E$4:E$15)+IF(LOOKUP(Model!I87,'Cost Basis'!A$4:A$11)=I87,LOOKUP(Model!I87,'Cost Basis'!A$4:A$11,'Cost Basis'!C$4:C$11)*Model!K87*(1+LOOKUP(I87,'Cost Basis'!A$4:A$15,'Cost Basis'!F$3:F$15)),LOOKUP(Model!I87,'Cost Basis'!A$4:A$15,'Cost Basis'!C$4:C$15)*ROUNDUP(Model!K87/5280/30,0))*(1+LOOKUP(I87,'Cost Basis'!A$4:A$15,'Cost Basis'!F$4:F$15))))</f>
        <v>2897195</v>
      </c>
      <c r="M87" s="264">
        <f t="shared" ca="1" si="8"/>
        <v>3392195</v>
      </c>
      <c r="N87" s="64" t="s">
        <v>516</v>
      </c>
      <c r="O87" s="253" t="s">
        <v>995</v>
      </c>
      <c r="P87" s="70" t="s">
        <v>418</v>
      </c>
      <c r="Q87" s="2">
        <f t="shared" si="6"/>
        <v>1</v>
      </c>
      <c r="R87" s="221">
        <f t="shared" si="5"/>
        <v>6.3825757575757578</v>
      </c>
    </row>
    <row r="88" spans="1:18" x14ac:dyDescent="0.3">
      <c r="A88" s="80">
        <v>1.0051000000000001</v>
      </c>
      <c r="B88" s="59" t="s">
        <v>5</v>
      </c>
      <c r="C88" s="59" t="s">
        <v>9</v>
      </c>
      <c r="D88" s="127"/>
      <c r="E88" s="127"/>
      <c r="F88" s="59"/>
      <c r="G88" s="59"/>
      <c r="H88" s="60">
        <f>IF(B88="Projects","N/A",IF(B88="Served","N/A",('Cost Basis'!E$3+('Cost Basis'!C$3*Model!D88))*(1+'Cost Basis'!F$3)))</f>
        <v>165000</v>
      </c>
      <c r="I88" s="123" t="s">
        <v>410</v>
      </c>
      <c r="J88" s="59" t="s">
        <v>497</v>
      </c>
      <c r="K88" s="61">
        <v>120200</v>
      </c>
      <c r="L88" s="62">
        <f ca="1">IF(K88=0,"N/A",(LOOKUP(I88,'Cost Basis'!A$4:A$15,'Cost Basis'!E$4:E$15)+IF(LOOKUP(Model!I88,'Cost Basis'!A$4:A$11)=I88,LOOKUP(Model!I88,'Cost Basis'!A$4:A$11,'Cost Basis'!C$4:C$11)*Model!K88*(1+LOOKUP(I88,'Cost Basis'!A$4:A$15,'Cost Basis'!F$3:F$15)),LOOKUP(Model!I88,'Cost Basis'!A$4:A$15,'Cost Basis'!C$4:C$15)*ROUNDUP(Model!K88/5280/30,0))*(1+LOOKUP(I88,'Cost Basis'!A$4:A$15,'Cost Basis'!F$4:F$15))))</f>
        <v>5663260.0000000009</v>
      </c>
      <c r="M88" s="264">
        <f t="shared" ca="1" si="8"/>
        <v>5828260.0000000009</v>
      </c>
      <c r="N88" s="64" t="s">
        <v>516</v>
      </c>
      <c r="O88" s="253" t="s">
        <v>995</v>
      </c>
      <c r="P88" s="69" t="s">
        <v>707</v>
      </c>
      <c r="Q88" s="2">
        <f t="shared" si="6"/>
        <v>1</v>
      </c>
      <c r="R88" s="221">
        <f t="shared" si="5"/>
        <v>22.765151515151516</v>
      </c>
    </row>
    <row r="89" spans="1:18" x14ac:dyDescent="0.3">
      <c r="A89" s="80">
        <v>1.1549999999999829</v>
      </c>
      <c r="B89" s="59" t="s">
        <v>5</v>
      </c>
      <c r="C89" s="59" t="s">
        <v>156</v>
      </c>
      <c r="D89" s="118">
        <v>313</v>
      </c>
      <c r="E89" s="118">
        <v>25</v>
      </c>
      <c r="F89" s="59"/>
      <c r="G89" s="59" t="s">
        <v>415</v>
      </c>
      <c r="H89" s="60">
        <f>IF(B89="Projects","N/A",IF(B89="Served","N/A",('Cost Basis'!E$3+('Cost Basis'!C$3*Model!D89))*(1+'Cost Basis'!F$3)))</f>
        <v>2747250</v>
      </c>
      <c r="I89" s="123" t="s">
        <v>416</v>
      </c>
      <c r="J89" s="59" t="s">
        <v>9</v>
      </c>
      <c r="K89" s="61">
        <v>345700</v>
      </c>
      <c r="L89" s="62">
        <f ca="1">IF(K89=0,"N/A",(LOOKUP(I89,'Cost Basis'!A$4:A$15,'Cost Basis'!E$4:E$15)+IF(LOOKUP(Model!I89,'Cost Basis'!A$4:A$11)=I89,LOOKUP(Model!I89,'Cost Basis'!A$4:A$11,'Cost Basis'!C$4:C$11)*Model!K89*(1+LOOKUP(I89,'Cost Basis'!A$4:A$15,'Cost Basis'!F$3:F$15)),LOOKUP(Model!I89,'Cost Basis'!A$4:A$15,'Cost Basis'!C$4:C$15)*ROUNDUP(Model!K89/5280/30,0))*(1+LOOKUP(I89,'Cost Basis'!A$4:A$15,'Cost Basis'!F$4:F$15))))</f>
        <v>16110395.000000004</v>
      </c>
      <c r="M89" s="264">
        <f t="shared" ca="1" si="8"/>
        <v>18857645.000000004</v>
      </c>
      <c r="N89" s="64" t="s">
        <v>555</v>
      </c>
      <c r="O89" s="253" t="s">
        <v>995</v>
      </c>
      <c r="P89" s="69"/>
      <c r="Q89" s="2">
        <f t="shared" si="6"/>
        <v>1</v>
      </c>
      <c r="R89" s="221">
        <f t="shared" si="5"/>
        <v>65.473484848484844</v>
      </c>
    </row>
    <row r="90" spans="1:18" x14ac:dyDescent="0.3">
      <c r="A90" s="80">
        <v>1.0109999999999988</v>
      </c>
      <c r="B90" s="59" t="s">
        <v>5</v>
      </c>
      <c r="C90" s="59" t="s">
        <v>16</v>
      </c>
      <c r="D90" s="118">
        <v>25</v>
      </c>
      <c r="E90" s="118">
        <v>5</v>
      </c>
      <c r="F90" s="59"/>
      <c r="G90" s="59" t="s">
        <v>415</v>
      </c>
      <c r="H90" s="60">
        <f>IF(B90="Projects","N/A",IF(B90="Served","N/A",('Cost Basis'!E$3+('Cost Basis'!C$3*Model!D90))*(1+'Cost Basis'!F$3)))</f>
        <v>371250.00000000006</v>
      </c>
      <c r="I90" s="123" t="s">
        <v>410</v>
      </c>
      <c r="J90" s="59" t="s">
        <v>497</v>
      </c>
      <c r="K90" s="61"/>
      <c r="L90" s="62" t="str">
        <f>IF(K90=0,"N/A",(LOOKUP(I90,'Cost Basis'!A$4:A$15,'Cost Basis'!E$4:E$15)+IF(LOOKUP(Model!I90,'Cost Basis'!A$4:A$11)=I90,LOOKUP(Model!I90,'Cost Basis'!A$4:A$11,'Cost Basis'!C$4:C$11)*Model!K90*(1+LOOKUP(I90,'Cost Basis'!A$4:A$15,'Cost Basis'!F$3:F$15)),LOOKUP(Model!I90,'Cost Basis'!A$4:A$15,'Cost Basis'!C$4:C$15)*ROUNDUP(Model!K90/5280/30,0))*(1+LOOKUP(I90,'Cost Basis'!A$4:A$15,'Cost Basis'!F$4:F$15))))</f>
        <v>N/A</v>
      </c>
      <c r="M90" s="264">
        <f t="shared" si="7"/>
        <v>371250.00000000006</v>
      </c>
      <c r="N90" s="64" t="s">
        <v>558</v>
      </c>
      <c r="O90" s="253" t="s">
        <v>995</v>
      </c>
      <c r="P90" s="69"/>
      <c r="Q90" s="2">
        <f t="shared" si="6"/>
        <v>1</v>
      </c>
      <c r="R90" s="221">
        <f t="shared" si="5"/>
        <v>0</v>
      </c>
    </row>
    <row r="91" spans="1:18" x14ac:dyDescent="0.3">
      <c r="A91" s="80">
        <v>1.1889999999999792</v>
      </c>
      <c r="B91" s="59" t="s">
        <v>5</v>
      </c>
      <c r="C91" s="59" t="s">
        <v>189</v>
      </c>
      <c r="D91" s="118">
        <v>173</v>
      </c>
      <c r="E91" s="118">
        <v>126</v>
      </c>
      <c r="F91" s="59"/>
      <c r="G91" s="59" t="s">
        <v>415</v>
      </c>
      <c r="H91" s="60">
        <f>IF(B91="Projects","N/A",IF(B91="Served","N/A",('Cost Basis'!E$3+('Cost Basis'!C$3*Model!D91))*(1+'Cost Basis'!F$3)))</f>
        <v>1592250.0000000002</v>
      </c>
      <c r="I91" s="123" t="s">
        <v>410</v>
      </c>
      <c r="J91" s="59" t="s">
        <v>470</v>
      </c>
      <c r="K91" s="61">
        <f>226100</f>
        <v>226100</v>
      </c>
      <c r="L91" s="62">
        <f ca="1">IF(K91=0,"N/A",(LOOKUP(I91,'Cost Basis'!A$4:A$15,'Cost Basis'!E$4:E$15)+IF(LOOKUP(Model!I91,'Cost Basis'!A$4:A$11)=I91,LOOKUP(Model!I91,'Cost Basis'!A$4:A$11,'Cost Basis'!C$4:C$11)*Model!K91*(1+LOOKUP(I91,'Cost Basis'!A$4:A$15,'Cost Basis'!F$3:F$15)),LOOKUP(Model!I91,'Cost Basis'!A$4:A$15,'Cost Basis'!C$4:C$15)*ROUNDUP(Model!K91/5280/30,0))*(1+LOOKUP(I91,'Cost Basis'!A$4:A$15,'Cost Basis'!F$4:F$15))))</f>
        <v>9507430.0000000019</v>
      </c>
      <c r="M91" s="264">
        <f t="shared" ref="M91:M132" ca="1" si="9">IF(L91="N/A",H91,H91+L91)</f>
        <v>11099680.000000002</v>
      </c>
      <c r="N91" s="64" t="s">
        <v>578</v>
      </c>
      <c r="O91" s="253" t="s">
        <v>995</v>
      </c>
      <c r="P91" s="69"/>
      <c r="Q91" s="2">
        <f t="shared" si="6"/>
        <v>1</v>
      </c>
      <c r="R91" s="221">
        <f t="shared" si="5"/>
        <v>42.821969696969695</v>
      </c>
    </row>
    <row r="92" spans="1:18" x14ac:dyDescent="0.3">
      <c r="A92" s="80">
        <v>1.1891</v>
      </c>
      <c r="B92" s="59" t="s">
        <v>5</v>
      </c>
      <c r="C92" s="59" t="s">
        <v>189</v>
      </c>
      <c r="D92" s="127"/>
      <c r="E92" s="127"/>
      <c r="F92" s="59"/>
      <c r="G92" s="59" t="s">
        <v>415</v>
      </c>
      <c r="H92" s="60">
        <f>IF(B92="Projects","N/A",IF(B92="Served","N/A",('Cost Basis'!E$3+('Cost Basis'!C$3*Model!D92))*(1+'Cost Basis'!F$3)))</f>
        <v>165000</v>
      </c>
      <c r="I92" s="123" t="s">
        <v>411</v>
      </c>
      <c r="J92" s="59" t="s">
        <v>470</v>
      </c>
      <c r="K92" s="61">
        <f>49500</f>
        <v>49500</v>
      </c>
      <c r="L92" s="62">
        <f ca="1">IF(K92=0,"N/A",(LOOKUP(I92,'Cost Basis'!A$4:A$15,'Cost Basis'!E$4:E$15)+IF(LOOKUP(Model!I92,'Cost Basis'!A$4:A$11)=I92,LOOKUP(Model!I92,'Cost Basis'!A$4:A$11,'Cost Basis'!C$4:C$11)*Model!K92*(1+LOOKUP(I92,'Cost Basis'!A$4:A$15,'Cost Basis'!F$3:F$15)),LOOKUP(Model!I92,'Cost Basis'!A$4:A$15,'Cost Basis'!C$4:C$15)*ROUNDUP(Model!K92/5280/30,0))*(1+LOOKUP(I92,'Cost Basis'!A$4:A$15,'Cost Basis'!F$4:F$15))))</f>
        <v>3596325.0000000005</v>
      </c>
      <c r="M92" s="264">
        <f t="shared" ca="1" si="9"/>
        <v>3761325.0000000005</v>
      </c>
      <c r="N92" s="64" t="s">
        <v>578</v>
      </c>
      <c r="O92" s="253" t="s">
        <v>995</v>
      </c>
      <c r="P92" s="69" t="s">
        <v>707</v>
      </c>
      <c r="Q92" s="2">
        <f t="shared" si="6"/>
        <v>1</v>
      </c>
      <c r="R92" s="221">
        <f t="shared" si="5"/>
        <v>9.375</v>
      </c>
    </row>
    <row r="93" spans="1:18" x14ac:dyDescent="0.3">
      <c r="A93" s="80">
        <v>1.016645</v>
      </c>
      <c r="B93" s="59" t="s">
        <v>5</v>
      </c>
      <c r="C93" s="59" t="s">
        <v>374</v>
      </c>
      <c r="D93" s="118">
        <v>33</v>
      </c>
      <c r="E93" s="118">
        <v>26</v>
      </c>
      <c r="F93" s="59"/>
      <c r="G93" s="59" t="s">
        <v>415</v>
      </c>
      <c r="H93" s="60">
        <f>IF(B93="Projects","N/A",IF(B93="Served","N/A",('Cost Basis'!E$3+('Cost Basis'!C$3*Model!D93))*(1+'Cost Basis'!F$3)))</f>
        <v>437250.00000000006</v>
      </c>
      <c r="I93" s="123" t="s">
        <v>411</v>
      </c>
      <c r="J93" s="59" t="s">
        <v>441</v>
      </c>
      <c r="K93" s="61">
        <f>120100</f>
        <v>120100</v>
      </c>
      <c r="L93" s="62">
        <f ca="1">IF(K93=0,"N/A",(LOOKUP(I93,'Cost Basis'!A$4:A$15,'Cost Basis'!E$4:E$15)+IF(LOOKUP(Model!I93,'Cost Basis'!A$4:A$11)=I93,LOOKUP(Model!I93,'Cost Basis'!A$4:A$11,'Cost Basis'!C$4:C$11)*Model!K93*(1+LOOKUP(I93,'Cost Basis'!A$4:A$15,'Cost Basis'!F$3:F$15)),LOOKUP(Model!I93,'Cost Basis'!A$4:A$15,'Cost Basis'!C$4:C$15)*ROUNDUP(Model!K93/5280/30,0))*(1+LOOKUP(I93,'Cost Basis'!A$4:A$15,'Cost Basis'!F$4:F$15))))</f>
        <v>6586235</v>
      </c>
      <c r="M93" s="264">
        <f t="shared" ca="1" si="9"/>
        <v>7023485</v>
      </c>
      <c r="N93" s="64" t="s">
        <v>535</v>
      </c>
      <c r="O93" s="253" t="s">
        <v>995</v>
      </c>
      <c r="P93" s="69"/>
      <c r="Q93" s="2">
        <f t="shared" si="6"/>
        <v>1</v>
      </c>
      <c r="R93" s="221">
        <f t="shared" si="5"/>
        <v>22.746212121212121</v>
      </c>
    </row>
    <row r="94" spans="1:18" x14ac:dyDescent="0.3">
      <c r="A94" s="80">
        <v>1.0166459999999999</v>
      </c>
      <c r="B94" s="59" t="s">
        <v>5</v>
      </c>
      <c r="C94" s="59" t="s">
        <v>374</v>
      </c>
      <c r="D94" s="127"/>
      <c r="E94" s="127"/>
      <c r="F94" s="59"/>
      <c r="G94" s="59"/>
      <c r="H94" s="60">
        <f>IF(B94="Projects","N/A",IF(B94="Served","N/A",('Cost Basis'!E$3+('Cost Basis'!C$3*Model!D94))*(1+'Cost Basis'!F$3)))</f>
        <v>165000</v>
      </c>
      <c r="I94" s="123" t="s">
        <v>410</v>
      </c>
      <c r="J94" s="59" t="s">
        <v>441</v>
      </c>
      <c r="K94" s="61">
        <v>47200</v>
      </c>
      <c r="L94" s="62">
        <f ca="1">IF(K94=0,"N/A",(LOOKUP(I94,'Cost Basis'!A$4:A$15,'Cost Basis'!E$4:E$15)+IF(LOOKUP(Model!I94,'Cost Basis'!A$4:A$11)=I94,LOOKUP(Model!I94,'Cost Basis'!A$4:A$11,'Cost Basis'!C$4:C$11)*Model!K94*(1+LOOKUP(I94,'Cost Basis'!A$4:A$15,'Cost Basis'!F$3:F$15)),LOOKUP(Model!I94,'Cost Basis'!A$4:A$15,'Cost Basis'!C$4:C$15)*ROUNDUP(Model!K94/5280/30,0))*(1+LOOKUP(I94,'Cost Basis'!A$4:A$15,'Cost Basis'!F$4:F$15))))</f>
        <v>3013360.0000000005</v>
      </c>
      <c r="M94" s="264">
        <f t="shared" ca="1" si="9"/>
        <v>3178360.0000000005</v>
      </c>
      <c r="N94" s="64" t="s">
        <v>535</v>
      </c>
      <c r="O94" s="253" t="s">
        <v>995</v>
      </c>
      <c r="P94" s="69" t="s">
        <v>707</v>
      </c>
      <c r="Q94" s="2">
        <f t="shared" si="6"/>
        <v>1</v>
      </c>
      <c r="R94" s="221">
        <f t="shared" si="5"/>
        <v>8.9393939393939394</v>
      </c>
    </row>
    <row r="95" spans="1:18" x14ac:dyDescent="0.3">
      <c r="A95" s="80">
        <v>1.0669999999999926</v>
      </c>
      <c r="B95" s="59" t="s">
        <v>5</v>
      </c>
      <c r="C95" s="59" t="s">
        <v>69</v>
      </c>
      <c r="D95" s="118">
        <v>144</v>
      </c>
      <c r="E95" s="118">
        <v>36</v>
      </c>
      <c r="F95" s="59"/>
      <c r="G95" s="59" t="s">
        <v>415</v>
      </c>
      <c r="H95" s="60">
        <f>IF(B95="Projects","N/A",IF(B95="Served","N/A",('Cost Basis'!E$3+('Cost Basis'!C$3*Model!D95))*(1+'Cost Basis'!F$3)))</f>
        <v>1353000</v>
      </c>
      <c r="I95" s="123" t="s">
        <v>411</v>
      </c>
      <c r="J95" s="59" t="s">
        <v>374</v>
      </c>
      <c r="K95" s="61">
        <v>46900</v>
      </c>
      <c r="L95" s="62">
        <f ca="1">IF(K95=0,"N/A",(LOOKUP(I95,'Cost Basis'!A$4:A$15,'Cost Basis'!E$4:E$15)+IF(LOOKUP(Model!I95,'Cost Basis'!A$4:A$11)=I95,LOOKUP(Model!I95,'Cost Basis'!A$4:A$11,'Cost Basis'!C$4:C$11)*Model!K95*(1+LOOKUP(I95,'Cost Basis'!A$4:A$15,'Cost Basis'!F$3:F$15)),LOOKUP(Model!I95,'Cost Basis'!A$4:A$15,'Cost Basis'!C$4:C$15)*ROUNDUP(Model!K95/5280/30,0))*(1+LOOKUP(I95,'Cost Basis'!A$4:A$15,'Cost Basis'!F$4:F$15))))</f>
        <v>3486215.0000000005</v>
      </c>
      <c r="M95" s="264">
        <f t="shared" ca="1" si="9"/>
        <v>4839215</v>
      </c>
      <c r="N95" s="64" t="s">
        <v>547</v>
      </c>
      <c r="O95" s="253" t="s">
        <v>995</v>
      </c>
      <c r="P95" s="69"/>
      <c r="Q95" s="2">
        <f t="shared" si="6"/>
        <v>1</v>
      </c>
      <c r="R95" s="221">
        <f t="shared" si="5"/>
        <v>8.8825757575757578</v>
      </c>
    </row>
    <row r="96" spans="1:18" x14ac:dyDescent="0.3">
      <c r="A96" s="80">
        <v>1.035999999999996</v>
      </c>
      <c r="B96" s="59" t="s">
        <v>5</v>
      </c>
      <c r="C96" s="59" t="s">
        <v>38</v>
      </c>
      <c r="D96" s="118">
        <v>296</v>
      </c>
      <c r="E96" s="118">
        <v>85</v>
      </c>
      <c r="F96" s="59"/>
      <c r="G96" s="59" t="s">
        <v>415</v>
      </c>
      <c r="H96" s="60">
        <f>IF(B96="Projects","N/A",IF(B96="Served","N/A",('Cost Basis'!E$3+('Cost Basis'!C$3*Model!D96))*(1+'Cost Basis'!F$3)))</f>
        <v>2607000</v>
      </c>
      <c r="I96" s="123" t="s">
        <v>410</v>
      </c>
      <c r="J96" s="59" t="s">
        <v>429</v>
      </c>
      <c r="K96" s="61">
        <v>217300</v>
      </c>
      <c r="L96" s="62">
        <f ca="1">IF(K96=0,"N/A",(LOOKUP(I96,'Cost Basis'!A$4:A$15,'Cost Basis'!E$4:E$15)+IF(LOOKUP(Model!I96,'Cost Basis'!A$4:A$11)=I96,LOOKUP(Model!I96,'Cost Basis'!A$4:A$11,'Cost Basis'!C$4:C$11)*Model!K96*(1+LOOKUP(I96,'Cost Basis'!A$4:A$15,'Cost Basis'!F$3:F$15)),LOOKUP(Model!I96,'Cost Basis'!A$4:A$15,'Cost Basis'!C$4:C$15)*ROUNDUP(Model!K96/5280/30,0))*(1+LOOKUP(I96,'Cost Basis'!A$4:A$15,'Cost Basis'!F$4:F$15))))</f>
        <v>9187990.0000000019</v>
      </c>
      <c r="M96" s="264">
        <f t="shared" ca="1" si="9"/>
        <v>11794990.000000002</v>
      </c>
      <c r="N96" s="64" t="s">
        <v>522</v>
      </c>
      <c r="O96" s="253" t="s">
        <v>995</v>
      </c>
      <c r="P96" s="69"/>
      <c r="Q96" s="2">
        <f t="shared" si="6"/>
        <v>1</v>
      </c>
      <c r="R96" s="221">
        <f t="shared" si="5"/>
        <v>41.155303030303031</v>
      </c>
    </row>
    <row r="97" spans="1:18" x14ac:dyDescent="0.3">
      <c r="A97" s="80">
        <v>1.0519999999999943</v>
      </c>
      <c r="B97" s="59" t="s">
        <v>5</v>
      </c>
      <c r="C97" s="59" t="s">
        <v>54</v>
      </c>
      <c r="D97" s="118">
        <v>1052</v>
      </c>
      <c r="E97" s="118">
        <v>501</v>
      </c>
      <c r="F97" s="59"/>
      <c r="G97" s="59" t="s">
        <v>415</v>
      </c>
      <c r="H97" s="60">
        <f>IF(B97="Projects","N/A",IF(B97="Served","N/A",('Cost Basis'!E$3+('Cost Basis'!C$3*Model!D97))*(1+'Cost Basis'!F$3)))</f>
        <v>8844000</v>
      </c>
      <c r="I97" s="123" t="s">
        <v>410</v>
      </c>
      <c r="J97" s="59" t="s">
        <v>369</v>
      </c>
      <c r="K97" s="61">
        <v>56500</v>
      </c>
      <c r="L97" s="62">
        <f ca="1">IF(K97=0,"N/A",(LOOKUP(I97,'Cost Basis'!A$4:A$15,'Cost Basis'!E$4:E$15)+IF(LOOKUP(Model!I97,'Cost Basis'!A$4:A$11)=I97,LOOKUP(Model!I97,'Cost Basis'!A$4:A$11,'Cost Basis'!C$4:C$11)*Model!K97*(1+LOOKUP(I97,'Cost Basis'!A$4:A$15,'Cost Basis'!F$3:F$15)),LOOKUP(Model!I97,'Cost Basis'!A$4:A$15,'Cost Basis'!C$4:C$15)*ROUNDUP(Model!K97/5280/30,0))*(1+LOOKUP(I97,'Cost Basis'!A$4:A$15,'Cost Basis'!F$4:F$15))))</f>
        <v>3350950.0000000005</v>
      </c>
      <c r="M97" s="264">
        <f t="shared" ca="1" si="9"/>
        <v>12194950</v>
      </c>
      <c r="N97" s="64" t="s">
        <v>546</v>
      </c>
      <c r="O97" s="253" t="s">
        <v>995</v>
      </c>
      <c r="P97" s="69"/>
      <c r="Q97" s="2">
        <f t="shared" si="6"/>
        <v>1</v>
      </c>
      <c r="R97" s="221">
        <f t="shared" si="5"/>
        <v>10.700757575757576</v>
      </c>
    </row>
    <row r="98" spans="1:18" x14ac:dyDescent="0.3">
      <c r="A98" s="80">
        <v>1.0589999999999935</v>
      </c>
      <c r="B98" s="59" t="s">
        <v>5</v>
      </c>
      <c r="C98" s="59" t="s">
        <v>61</v>
      </c>
      <c r="D98" s="118">
        <v>1126</v>
      </c>
      <c r="E98" s="118">
        <v>783</v>
      </c>
      <c r="F98" s="59"/>
      <c r="G98" s="59" t="s">
        <v>415</v>
      </c>
      <c r="H98" s="60">
        <f>IF(B98="Projects","N/A",IF(B98="Served","N/A",('Cost Basis'!E$3+('Cost Basis'!C$3*Model!D98))*(1+'Cost Basis'!F$3)))</f>
        <v>9454500</v>
      </c>
      <c r="I98" s="123" t="s">
        <v>411</v>
      </c>
      <c r="J98" s="59" t="s">
        <v>334</v>
      </c>
      <c r="K98" s="61">
        <f>118500-K97</f>
        <v>62000</v>
      </c>
      <c r="L98" s="62">
        <f ca="1">IF(K98=0,"N/A",(LOOKUP(I98,'Cost Basis'!A$4:A$15,'Cost Basis'!E$4:E$15)+IF(LOOKUP(Model!I98,'Cost Basis'!A$4:A$11)=I98,LOOKUP(Model!I98,'Cost Basis'!A$4:A$11,'Cost Basis'!C$4:C$11)*Model!K98*(1+LOOKUP(I98,'Cost Basis'!A$4:A$15,'Cost Basis'!F$3:F$15)),LOOKUP(Model!I98,'Cost Basis'!A$4:A$15,'Cost Basis'!C$4:C$15)*ROUNDUP(Model!K98/5280/30,0))*(1+LOOKUP(I98,'Cost Basis'!A$4:A$15,'Cost Basis'!F$4:F$15))))</f>
        <v>4125700</v>
      </c>
      <c r="M98" s="264">
        <f t="shared" ca="1" si="9"/>
        <v>13580200</v>
      </c>
      <c r="N98" s="64" t="s">
        <v>523</v>
      </c>
      <c r="O98" s="253" t="s">
        <v>995</v>
      </c>
      <c r="P98" s="69"/>
      <c r="Q98" s="2">
        <f t="shared" si="6"/>
        <v>1</v>
      </c>
      <c r="R98" s="221">
        <f t="shared" si="5"/>
        <v>11.742424242424242</v>
      </c>
    </row>
    <row r="99" spans="1:18" x14ac:dyDescent="0.3">
      <c r="A99" s="80">
        <v>1.0579999999999936</v>
      </c>
      <c r="B99" s="59" t="s">
        <v>5</v>
      </c>
      <c r="C99" s="59" t="s">
        <v>60</v>
      </c>
      <c r="D99" s="118">
        <v>266</v>
      </c>
      <c r="E99" s="118">
        <v>120</v>
      </c>
      <c r="F99" s="59"/>
      <c r="G99" s="59" t="s">
        <v>415</v>
      </c>
      <c r="H99" s="60">
        <f>IF(B99="Projects","N/A",IF(B99="Served","N/A",('Cost Basis'!E$3+('Cost Basis'!C$3*Model!D99))*(1+'Cost Basis'!F$3)))</f>
        <v>2359500</v>
      </c>
      <c r="I99" s="123" t="s">
        <v>411</v>
      </c>
      <c r="J99" s="59" t="s">
        <v>437</v>
      </c>
      <c r="K99" s="61">
        <v>65100</v>
      </c>
      <c r="L99" s="62">
        <f ca="1">IF(K99=0,"N/A",(LOOKUP(I99,'Cost Basis'!A$4:A$15,'Cost Basis'!E$4:E$15)+IF(LOOKUP(Model!I99,'Cost Basis'!A$4:A$11)=I99,LOOKUP(Model!I99,'Cost Basis'!A$4:A$11,'Cost Basis'!C$4:C$11)*Model!K99*(1+LOOKUP(I99,'Cost Basis'!A$4:A$15,'Cost Basis'!F$3:F$15)),LOOKUP(Model!I99,'Cost Basis'!A$4:A$15,'Cost Basis'!C$4:C$15)*ROUNDUP(Model!K99/5280/30,0))*(1+LOOKUP(I99,'Cost Basis'!A$4:A$15,'Cost Basis'!F$4:F$15))))</f>
        <v>4256985</v>
      </c>
      <c r="M99" s="264">
        <f t="shared" ca="1" si="9"/>
        <v>6616485</v>
      </c>
      <c r="N99" s="64" t="s">
        <v>545</v>
      </c>
      <c r="O99" s="253" t="s">
        <v>995</v>
      </c>
      <c r="P99" s="69"/>
      <c r="Q99" s="2">
        <f t="shared" si="6"/>
        <v>1</v>
      </c>
      <c r="R99" s="221">
        <f t="shared" si="5"/>
        <v>12.329545454545455</v>
      </c>
    </row>
    <row r="100" spans="1:18" x14ac:dyDescent="0.3">
      <c r="A100" s="80">
        <v>1.1499999999999835</v>
      </c>
      <c r="B100" s="59" t="s">
        <v>5</v>
      </c>
      <c r="C100" s="59" t="s">
        <v>151</v>
      </c>
      <c r="D100" s="118">
        <v>182</v>
      </c>
      <c r="E100" s="118">
        <v>74</v>
      </c>
      <c r="F100" s="59"/>
      <c r="G100" s="59" t="s">
        <v>415</v>
      </c>
      <c r="H100" s="60">
        <f>IF(B100="Projects","N/A",IF(B100="Served","N/A",('Cost Basis'!E$3+('Cost Basis'!C$3*Model!D100))*(1+'Cost Basis'!F$3)))</f>
        <v>1666500.0000000002</v>
      </c>
      <c r="I100" s="123" t="s">
        <v>412</v>
      </c>
      <c r="J100" s="59" t="s">
        <v>330</v>
      </c>
      <c r="K100" s="61">
        <v>91800</v>
      </c>
      <c r="L100" s="62">
        <f ca="1">IF(K100=0,"N/A",(LOOKUP(I100,'Cost Basis'!A$4:A$15,'Cost Basis'!E$4:E$15)+IF(LOOKUP(Model!I100,'Cost Basis'!A$4:A$11)=I100,LOOKUP(Model!I100,'Cost Basis'!A$4:A$11,'Cost Basis'!C$4:C$11)*Model!K100*(1+LOOKUP(I100,'Cost Basis'!A$4:A$15,'Cost Basis'!F$3:F$15)),LOOKUP(Model!I100,'Cost Basis'!A$4:A$15,'Cost Basis'!C$4:C$15)*ROUNDUP(Model!K100/5280/30,0))*(1+LOOKUP(I100,'Cost Basis'!A$4:A$15,'Cost Basis'!F$4:F$15))))</f>
        <v>5264496.0000000009</v>
      </c>
      <c r="M100" s="264">
        <f t="shared" ca="1" si="9"/>
        <v>6930996.0000000009</v>
      </c>
      <c r="N100" s="64" t="s">
        <v>567</v>
      </c>
      <c r="O100" s="253" t="s">
        <v>995</v>
      </c>
      <c r="P100" s="69"/>
      <c r="Q100" s="2">
        <f t="shared" si="6"/>
        <v>1</v>
      </c>
      <c r="R100" s="221">
        <f t="shared" si="5"/>
        <v>17.386363636363637</v>
      </c>
    </row>
    <row r="101" spans="1:18" x14ac:dyDescent="0.3">
      <c r="A101" s="80">
        <v>1.1509999999999834</v>
      </c>
      <c r="B101" s="59" t="s">
        <v>5</v>
      </c>
      <c r="C101" s="59" t="s">
        <v>152</v>
      </c>
      <c r="D101" s="118">
        <v>208</v>
      </c>
      <c r="E101" s="118">
        <v>83</v>
      </c>
      <c r="F101" s="59"/>
      <c r="G101" s="59" t="s">
        <v>415</v>
      </c>
      <c r="H101" s="60">
        <f>IF(B101="Projects","N/A",IF(B101="Served","N/A",('Cost Basis'!E$3+('Cost Basis'!C$3*Model!D101))*(1+'Cost Basis'!F$3)))</f>
        <v>1881000.0000000002</v>
      </c>
      <c r="I101" s="123" t="s">
        <v>414</v>
      </c>
      <c r="J101" s="59" t="s">
        <v>151</v>
      </c>
      <c r="K101" s="61">
        <v>19800</v>
      </c>
      <c r="L101" s="62">
        <f ca="1">IF(K101=0,"N/A",(LOOKUP(I101,'Cost Basis'!A$4:A$15,'Cost Basis'!E$4:E$15)+IF(LOOKUP(Model!I101,'Cost Basis'!A$4:A$11)=I101,LOOKUP(Model!I101,'Cost Basis'!A$4:A$11,'Cost Basis'!C$4:C$11)*Model!K101*(1+LOOKUP(I101,'Cost Basis'!A$4:A$15,'Cost Basis'!F$3:F$15)),LOOKUP(Model!I101,'Cost Basis'!A$4:A$15,'Cost Basis'!C$4:C$15)*ROUNDUP(Model!K101/5280/30,0))*(1+LOOKUP(I101,'Cost Basis'!A$4:A$15,'Cost Basis'!F$4:F$15))))</f>
        <v>1984992</v>
      </c>
      <c r="M101" s="264">
        <f t="shared" ca="1" si="9"/>
        <v>3865992</v>
      </c>
      <c r="N101" s="64" t="s">
        <v>577</v>
      </c>
      <c r="O101" s="253" t="s">
        <v>995</v>
      </c>
      <c r="P101" s="69"/>
      <c r="Q101" s="2">
        <f t="shared" si="6"/>
        <v>1</v>
      </c>
      <c r="R101" s="221">
        <f t="shared" si="5"/>
        <v>3.75</v>
      </c>
    </row>
    <row r="102" spans="1:18" x14ac:dyDescent="0.3">
      <c r="A102" s="80">
        <v>1.0629999999999931</v>
      </c>
      <c r="B102" s="59" t="s">
        <v>5</v>
      </c>
      <c r="C102" s="59" t="s">
        <v>65</v>
      </c>
      <c r="D102" s="118">
        <v>205</v>
      </c>
      <c r="E102" s="118">
        <v>68</v>
      </c>
      <c r="F102" s="59"/>
      <c r="G102" s="59" t="s">
        <v>415</v>
      </c>
      <c r="H102" s="60">
        <f>IF(B102="Projects","N/A",IF(B102="Served","N/A",('Cost Basis'!E$3+('Cost Basis'!C$3*Model!D102))*(1+'Cost Basis'!F$3)))</f>
        <v>1856250.0000000002</v>
      </c>
      <c r="I102" s="123" t="s">
        <v>411</v>
      </c>
      <c r="J102" s="59" t="s">
        <v>152</v>
      </c>
      <c r="K102" s="61">
        <v>149900</v>
      </c>
      <c r="L102" s="62">
        <f ca="1">IF(K102=0,"N/A",(LOOKUP(I102,'Cost Basis'!A$4:A$15,'Cost Basis'!E$4:E$15)+IF(LOOKUP(Model!I102,'Cost Basis'!A$4:A$11)=I102,LOOKUP(Model!I102,'Cost Basis'!A$4:A$11,'Cost Basis'!C$4:C$11)*Model!K102*(1+LOOKUP(I102,'Cost Basis'!A$4:A$15,'Cost Basis'!F$3:F$15)),LOOKUP(Model!I102,'Cost Basis'!A$4:A$15,'Cost Basis'!C$4:C$15)*ROUNDUP(Model!K102/5280/30,0))*(1+LOOKUP(I102,'Cost Basis'!A$4:A$15,'Cost Basis'!F$4:F$15))))</f>
        <v>7848265.0000000019</v>
      </c>
      <c r="M102" s="264">
        <f t="shared" ca="1" si="9"/>
        <v>9704515.0000000019</v>
      </c>
      <c r="N102" s="64" t="s">
        <v>579</v>
      </c>
      <c r="O102" s="253" t="s">
        <v>995</v>
      </c>
      <c r="P102" s="69"/>
      <c r="Q102" s="2">
        <f t="shared" si="6"/>
        <v>1</v>
      </c>
      <c r="R102" s="221">
        <f t="shared" si="5"/>
        <v>28.390151515151516</v>
      </c>
    </row>
    <row r="103" spans="1:18" x14ac:dyDescent="0.3">
      <c r="A103" s="80">
        <v>1.1009999999999889</v>
      </c>
      <c r="B103" s="59" t="s">
        <v>5</v>
      </c>
      <c r="C103" s="59" t="s">
        <v>102</v>
      </c>
      <c r="D103" s="118">
        <v>67</v>
      </c>
      <c r="E103" s="118">
        <v>50</v>
      </c>
      <c r="F103" s="59"/>
      <c r="G103" s="59" t="s">
        <v>415</v>
      </c>
      <c r="H103" s="60">
        <f>IF(B103="Projects","N/A",IF(B103="Served","N/A",('Cost Basis'!E$3+('Cost Basis'!C$3*Model!D103))*(1+'Cost Basis'!F$3)))</f>
        <v>717750</v>
      </c>
      <c r="I103" s="123" t="s">
        <v>412</v>
      </c>
      <c r="J103" s="59" t="s">
        <v>151</v>
      </c>
      <c r="K103" s="61">
        <v>74300</v>
      </c>
      <c r="L103" s="62">
        <f ca="1">IF(K103=0,"N/A",(LOOKUP(I103,'Cost Basis'!A$4:A$15,'Cost Basis'!E$4:E$15)+IF(LOOKUP(Model!I103,'Cost Basis'!A$4:A$11)=I103,LOOKUP(Model!I103,'Cost Basis'!A$4:A$11,'Cost Basis'!C$4:C$11)*Model!K103*(1+LOOKUP(I103,'Cost Basis'!A$4:A$15,'Cost Basis'!F$3:F$15)),LOOKUP(Model!I103,'Cost Basis'!A$4:A$15,'Cost Basis'!C$4:C$15)*ROUNDUP(Model!K103/5280/30,0))*(1+LOOKUP(I103,'Cost Basis'!A$4:A$15,'Cost Basis'!F$4:F$15))))</f>
        <v>4586896</v>
      </c>
      <c r="M103" s="264">
        <f t="shared" ca="1" si="9"/>
        <v>5304646</v>
      </c>
      <c r="N103" s="64" t="s">
        <v>587</v>
      </c>
      <c r="O103" s="253" t="s">
        <v>994</v>
      </c>
      <c r="P103" s="69"/>
      <c r="Q103" s="2">
        <f t="shared" si="6"/>
        <v>1</v>
      </c>
      <c r="R103" s="221">
        <f t="shared" si="5"/>
        <v>14.071969696969697</v>
      </c>
    </row>
    <row r="104" spans="1:18" x14ac:dyDescent="0.3">
      <c r="A104" s="80">
        <v>1.1389999999999847</v>
      </c>
      <c r="B104" s="59" t="s">
        <v>5</v>
      </c>
      <c r="C104" s="59" t="s">
        <v>140</v>
      </c>
      <c r="D104" s="118">
        <v>79</v>
      </c>
      <c r="E104" s="118">
        <v>52</v>
      </c>
      <c r="F104" s="59"/>
      <c r="G104" s="59" t="s">
        <v>415</v>
      </c>
      <c r="H104" s="60">
        <f>IF(B104="Projects","N/A",IF(B104="Served","N/A",('Cost Basis'!E$3+('Cost Basis'!C$3*Model!D104))*(1+'Cost Basis'!F$3)))</f>
        <v>816750.00000000012</v>
      </c>
      <c r="I104" s="123" t="s">
        <v>412</v>
      </c>
      <c r="J104" s="59" t="s">
        <v>457</v>
      </c>
      <c r="K104" s="61">
        <v>22200</v>
      </c>
      <c r="L104" s="62">
        <f ca="1">IF(K104=0,"N/A",(LOOKUP(I104,'Cost Basis'!A$4:A$15,'Cost Basis'!E$4:E$15)+IF(LOOKUP(Model!I104,'Cost Basis'!A$4:A$11)=I104,LOOKUP(Model!I104,'Cost Basis'!A$4:A$11,'Cost Basis'!C$4:C$11)*Model!K104*(1+LOOKUP(I104,'Cost Basis'!A$4:A$15,'Cost Basis'!F$3:F$15)),LOOKUP(Model!I104,'Cost Basis'!A$4:A$15,'Cost Basis'!C$4:C$15)*ROUNDUP(Model!K104/5280/30,0))*(1+LOOKUP(I104,'Cost Basis'!A$4:A$15,'Cost Basis'!F$4:F$15))))</f>
        <v>2569584</v>
      </c>
      <c r="M104" s="264">
        <f t="shared" ca="1" si="9"/>
        <v>3386334</v>
      </c>
      <c r="N104" s="64" t="s">
        <v>592</v>
      </c>
      <c r="O104" s="253" t="s">
        <v>994</v>
      </c>
      <c r="P104" s="69"/>
      <c r="Q104" s="2">
        <f t="shared" si="6"/>
        <v>1</v>
      </c>
      <c r="R104" s="221">
        <f t="shared" si="5"/>
        <v>4.2045454545454541</v>
      </c>
    </row>
    <row r="105" spans="1:18" x14ac:dyDescent="0.3">
      <c r="A105" s="80">
        <v>1.1459999999999839</v>
      </c>
      <c r="B105" s="59" t="s">
        <v>5</v>
      </c>
      <c r="C105" s="59" t="s">
        <v>147</v>
      </c>
      <c r="D105" s="118">
        <v>119</v>
      </c>
      <c r="E105" s="118">
        <v>65</v>
      </c>
      <c r="F105" s="59"/>
      <c r="G105" s="59" t="s">
        <v>415</v>
      </c>
      <c r="H105" s="60">
        <f>IF(B105="Projects","N/A",IF(B105="Served","N/A",('Cost Basis'!E$3+('Cost Basis'!C$3*Model!D105))*(1+'Cost Basis'!F$3)))</f>
        <v>1146750</v>
      </c>
      <c r="I105" s="123" t="s">
        <v>416</v>
      </c>
      <c r="J105" s="59" t="s">
        <v>227</v>
      </c>
      <c r="K105" s="61">
        <v>617000</v>
      </c>
      <c r="L105" s="62">
        <f ca="1">IF(K105=0,"N/A",(LOOKUP(I105,'Cost Basis'!A$4:A$15,'Cost Basis'!E$4:E$15)+IF(LOOKUP(Model!I105,'Cost Basis'!A$4:A$11)=I105,LOOKUP(Model!I105,'Cost Basis'!A$4:A$11,'Cost Basis'!C$4:C$11)*Model!K105*(1+LOOKUP(I105,'Cost Basis'!A$4:A$15,'Cost Basis'!F$3:F$15)),LOOKUP(Model!I105,'Cost Basis'!A$4:A$15,'Cost Basis'!C$4:C$15)*ROUNDUP(Model!K105/5280/30,0))*(1+LOOKUP(I105,'Cost Basis'!A$4:A$15,'Cost Basis'!F$4:F$15))))</f>
        <v>27599950.000000007</v>
      </c>
      <c r="M105" s="264">
        <f t="shared" ca="1" si="9"/>
        <v>28746700.000000007</v>
      </c>
      <c r="N105" s="64" t="s">
        <v>533</v>
      </c>
      <c r="O105" s="253" t="s">
        <v>993</v>
      </c>
      <c r="P105" s="69"/>
      <c r="Q105" s="2">
        <f t="shared" si="6"/>
        <v>1</v>
      </c>
      <c r="R105" s="221">
        <f t="shared" si="5"/>
        <v>116.85606060606061</v>
      </c>
    </row>
    <row r="106" spans="1:18" x14ac:dyDescent="0.3">
      <c r="A106" s="80">
        <v>1.1339999999000001</v>
      </c>
      <c r="B106" s="59" t="s">
        <v>5</v>
      </c>
      <c r="C106" s="59" t="s">
        <v>510</v>
      </c>
      <c r="D106" s="118">
        <v>20</v>
      </c>
      <c r="E106" s="118">
        <v>5</v>
      </c>
      <c r="F106" s="59"/>
      <c r="G106" s="59" t="s">
        <v>415</v>
      </c>
      <c r="H106" s="60">
        <f>IF(B106="Projects","N/A",IF(B106="Served","N/A",('Cost Basis'!E$3+('Cost Basis'!C$3*Model!D106))*(1+'Cost Basis'!F$3)))</f>
        <v>330000</v>
      </c>
      <c r="I106" s="123" t="s">
        <v>414</v>
      </c>
      <c r="J106" s="59" t="s">
        <v>147</v>
      </c>
      <c r="K106" s="61">
        <v>297400</v>
      </c>
      <c r="L106" s="62">
        <f ca="1">IF(K106=0,"N/A",(LOOKUP(I106,'Cost Basis'!A$4:A$15,'Cost Basis'!E$4:E$15)+IF(LOOKUP(Model!I106,'Cost Basis'!A$4:A$11)=I106,LOOKUP(Model!I106,'Cost Basis'!A$4:A$11,'Cost Basis'!C$4:C$11)*Model!K106*(1+LOOKUP(I106,'Cost Basis'!A$4:A$15,'Cost Basis'!F$3:F$15)),LOOKUP(Model!I106,'Cost Basis'!A$4:A$15,'Cost Basis'!C$4:C$15)*ROUNDUP(Model!K106/5280/30,0))*(1+LOOKUP(I106,'Cost Basis'!A$4:A$15,'Cost Basis'!F$4:F$15))))</f>
        <v>10046496.000000002</v>
      </c>
      <c r="M106" s="264">
        <f t="shared" ca="1" si="9"/>
        <v>10376496.000000002</v>
      </c>
      <c r="N106" s="64" t="s">
        <v>554</v>
      </c>
      <c r="O106" s="253" t="s">
        <v>993</v>
      </c>
      <c r="P106" s="69"/>
      <c r="Q106" s="2">
        <f t="shared" si="6"/>
        <v>1</v>
      </c>
      <c r="R106" s="221">
        <f t="shared" si="5"/>
        <v>56.325757575757578</v>
      </c>
    </row>
    <row r="107" spans="1:18" x14ac:dyDescent="0.3">
      <c r="A107" s="80">
        <v>1.0529999999999942</v>
      </c>
      <c r="B107" s="59" t="s">
        <v>5</v>
      </c>
      <c r="C107" s="59" t="s">
        <v>55</v>
      </c>
      <c r="D107" s="118">
        <v>275</v>
      </c>
      <c r="E107" s="118">
        <v>192</v>
      </c>
      <c r="F107" s="59"/>
      <c r="G107" s="59" t="s">
        <v>415</v>
      </c>
      <c r="H107" s="60">
        <f>IF(B107="Projects","N/A",IF(B107="Served","N/A",('Cost Basis'!E$3+('Cost Basis'!C$3*Model!D107))*(1+'Cost Basis'!F$3)))</f>
        <v>2433750</v>
      </c>
      <c r="I107" s="123" t="s">
        <v>416</v>
      </c>
      <c r="J107" s="59" t="s">
        <v>147</v>
      </c>
      <c r="K107" s="61">
        <v>276000</v>
      </c>
      <c r="L107" s="62">
        <f ca="1">IF(K107=0,"N/A",(LOOKUP(I107,'Cost Basis'!A$4:A$15,'Cost Basis'!E$4:E$15)+IF(LOOKUP(Model!I107,'Cost Basis'!A$4:A$11)=I107,LOOKUP(Model!I107,'Cost Basis'!A$4:A$11,'Cost Basis'!C$4:C$11)*Model!K107*(1+LOOKUP(I107,'Cost Basis'!A$4:A$15,'Cost Basis'!F$3:F$15)),LOOKUP(Model!I107,'Cost Basis'!A$4:A$15,'Cost Basis'!C$4:C$15)*ROUNDUP(Model!K107/5280/30,0))*(1+LOOKUP(I107,'Cost Basis'!A$4:A$15,'Cost Basis'!F$4:F$15))))</f>
        <v>13158600.000000002</v>
      </c>
      <c r="M107" s="264">
        <f t="shared" ca="1" si="9"/>
        <v>15592350.000000002</v>
      </c>
      <c r="N107" s="64" t="s">
        <v>563</v>
      </c>
      <c r="O107" s="253" t="s">
        <v>993</v>
      </c>
      <c r="P107" s="69"/>
      <c r="Q107" s="2">
        <f t="shared" si="6"/>
        <v>1</v>
      </c>
      <c r="R107" s="221">
        <f t="shared" si="5"/>
        <v>52.272727272727273</v>
      </c>
    </row>
    <row r="108" spans="1:18" x14ac:dyDescent="0.3">
      <c r="A108" s="80">
        <v>1.0789999999999913</v>
      </c>
      <c r="B108" s="59" t="s">
        <v>5</v>
      </c>
      <c r="C108" s="59" t="s">
        <v>81</v>
      </c>
      <c r="D108" s="118">
        <v>59</v>
      </c>
      <c r="E108" s="118">
        <v>36</v>
      </c>
      <c r="F108" s="59"/>
      <c r="G108" s="59" t="s">
        <v>415</v>
      </c>
      <c r="H108" s="60">
        <f>IF(B108="Projects","N/A",IF(B108="Served","N/A",('Cost Basis'!E$3+('Cost Basis'!C$3*Model!D108))*(1+'Cost Basis'!F$3)))</f>
        <v>651750</v>
      </c>
      <c r="I108" s="123" t="s">
        <v>416</v>
      </c>
      <c r="J108" s="59" t="s">
        <v>55</v>
      </c>
      <c r="K108" s="61">
        <v>179832</v>
      </c>
      <c r="L108" s="62">
        <f ca="1">IF(K108=0,"N/A",(LOOKUP(I108,'Cost Basis'!A$4:A$15,'Cost Basis'!E$4:E$15)+IF(LOOKUP(Model!I108,'Cost Basis'!A$4:A$11)=I108,LOOKUP(Model!I108,'Cost Basis'!A$4:A$11,'Cost Basis'!C$4:C$11)*Model!K108*(1+LOOKUP(I108,'Cost Basis'!A$4:A$15,'Cost Basis'!F$3:F$15)),LOOKUP(Model!I108,'Cost Basis'!A$4:A$15,'Cost Basis'!C$4:C$15)*ROUNDUP(Model!K108/5280/30,0))*(1+LOOKUP(I108,'Cost Basis'!A$4:A$15,'Cost Basis'!F$4:F$15))))</f>
        <v>9085885.200000003</v>
      </c>
      <c r="M108" s="264">
        <f t="shared" ca="1" si="9"/>
        <v>9737635.200000003</v>
      </c>
      <c r="N108" s="64" t="s">
        <v>573</v>
      </c>
      <c r="O108" s="253" t="s">
        <v>993</v>
      </c>
      <c r="P108" s="69"/>
      <c r="Q108" s="2">
        <f t="shared" si="6"/>
        <v>1</v>
      </c>
      <c r="R108" s="221">
        <f t="shared" si="5"/>
        <v>34.059090909090912</v>
      </c>
    </row>
    <row r="109" spans="1:18" x14ac:dyDescent="0.3">
      <c r="A109" s="80">
        <v>1.1109999999999878</v>
      </c>
      <c r="B109" s="59" t="s">
        <v>5</v>
      </c>
      <c r="C109" s="59" t="s">
        <v>112</v>
      </c>
      <c r="D109" s="118">
        <v>139</v>
      </c>
      <c r="E109" s="118">
        <v>86</v>
      </c>
      <c r="F109" s="59"/>
      <c r="G109" s="59" t="s">
        <v>415</v>
      </c>
      <c r="H109" s="60">
        <f>IF(B109="Projects","N/A",IF(B109="Served","N/A",('Cost Basis'!E$3+('Cost Basis'!C$3*Model!D109))*(1+'Cost Basis'!F$3)))</f>
        <v>1311750</v>
      </c>
      <c r="I109" s="123" t="s">
        <v>416</v>
      </c>
      <c r="J109" s="59" t="s">
        <v>81</v>
      </c>
      <c r="K109" s="61">
        <v>99400</v>
      </c>
      <c r="L109" s="62">
        <f ca="1">IF(K109=0,"N/A",(LOOKUP(I109,'Cost Basis'!A$4:A$15,'Cost Basis'!E$4:E$15)+IF(LOOKUP(Model!I109,'Cost Basis'!A$4:A$11)=I109,LOOKUP(Model!I109,'Cost Basis'!A$4:A$11,'Cost Basis'!C$4:C$11)*Model!K109*(1+LOOKUP(I109,'Cost Basis'!A$4:A$15,'Cost Basis'!F$3:F$15)),LOOKUP(Model!I109,'Cost Basis'!A$4:A$15,'Cost Basis'!C$4:C$15)*ROUNDUP(Model!K109/5280/30,0))*(1+LOOKUP(I109,'Cost Basis'!A$4:A$15,'Cost Basis'!F$4:F$15))))</f>
        <v>5679590.0000000009</v>
      </c>
      <c r="M109" s="264">
        <f t="shared" ca="1" si="9"/>
        <v>6991340.0000000009</v>
      </c>
      <c r="N109" s="64" t="s">
        <v>580</v>
      </c>
      <c r="O109" s="253" t="s">
        <v>993</v>
      </c>
      <c r="P109" s="69"/>
      <c r="Q109" s="2">
        <f t="shared" si="6"/>
        <v>1</v>
      </c>
      <c r="R109" s="221">
        <f t="shared" si="5"/>
        <v>18.825757575757574</v>
      </c>
    </row>
    <row r="110" spans="1:18" x14ac:dyDescent="0.3">
      <c r="A110" s="80">
        <v>1.0719999999999921</v>
      </c>
      <c r="B110" s="59" t="s">
        <v>5</v>
      </c>
      <c r="C110" s="59" t="s">
        <v>74</v>
      </c>
      <c r="D110" s="118">
        <v>103</v>
      </c>
      <c r="E110" s="118">
        <v>71</v>
      </c>
      <c r="F110" s="59"/>
      <c r="G110" s="59" t="s">
        <v>415</v>
      </c>
      <c r="H110" s="60">
        <f>IF(B110="Projects","N/A",IF(B110="Served","N/A",('Cost Basis'!E$3+('Cost Basis'!C$3*Model!D110))*(1+'Cost Basis'!F$3)))</f>
        <v>1014750.0000000001</v>
      </c>
      <c r="I110" s="123" t="s">
        <v>416</v>
      </c>
      <c r="J110" s="59" t="s">
        <v>112</v>
      </c>
      <c r="K110" s="61">
        <v>193300</v>
      </c>
      <c r="L110" s="62">
        <f ca="1">IF(K110=0,"N/A",(LOOKUP(I110,'Cost Basis'!A$4:A$15,'Cost Basis'!E$4:E$15)+IF(LOOKUP(Model!I110,'Cost Basis'!A$4:A$11)=I110,LOOKUP(Model!I110,'Cost Basis'!A$4:A$11,'Cost Basis'!C$4:C$11)*Model!K110*(1+LOOKUP(I110,'Cost Basis'!A$4:A$15,'Cost Basis'!F$3:F$15)),LOOKUP(Model!I110,'Cost Basis'!A$4:A$15,'Cost Basis'!C$4:C$15)*ROUNDUP(Model!K110/5280/30,0))*(1+LOOKUP(I110,'Cost Basis'!A$4:A$15,'Cost Basis'!F$4:F$15))))</f>
        <v>9656255.0000000019</v>
      </c>
      <c r="M110" s="264">
        <f t="shared" ca="1" si="9"/>
        <v>10671005.000000002</v>
      </c>
      <c r="N110" s="64" t="s">
        <v>585</v>
      </c>
      <c r="O110" s="253" t="s">
        <v>993</v>
      </c>
      <c r="P110" s="69"/>
      <c r="Q110" s="2">
        <f t="shared" si="6"/>
        <v>1</v>
      </c>
      <c r="R110" s="221">
        <f t="shared" si="5"/>
        <v>36.609848484848484</v>
      </c>
    </row>
    <row r="111" spans="1:18" x14ac:dyDescent="0.3">
      <c r="A111" s="80">
        <v>1.0609999999999933</v>
      </c>
      <c r="B111" s="59" t="s">
        <v>5</v>
      </c>
      <c r="C111" s="59" t="s">
        <v>63</v>
      </c>
      <c r="D111" s="118">
        <v>74</v>
      </c>
      <c r="E111" s="118">
        <v>66</v>
      </c>
      <c r="F111" s="59"/>
      <c r="G111" s="59" t="s">
        <v>415</v>
      </c>
      <c r="H111" s="60">
        <f>IF(B111="Projects","N/A",IF(B111="Served","N/A",('Cost Basis'!E$3+('Cost Basis'!C$3*Model!D111))*(1+'Cost Basis'!F$3)))</f>
        <v>775500.00000000012</v>
      </c>
      <c r="I111" s="123" t="s">
        <v>416</v>
      </c>
      <c r="J111" s="59" t="s">
        <v>74</v>
      </c>
      <c r="K111" s="61">
        <v>612944</v>
      </c>
      <c r="L111" s="62">
        <f ca="1">IF(K111=0,"N/A",(LOOKUP(I111,'Cost Basis'!A$4:A$15,'Cost Basis'!E$4:E$15)+IF(LOOKUP(Model!I111,'Cost Basis'!A$4:A$11)=I111,LOOKUP(Model!I111,'Cost Basis'!A$4:A$11,'Cost Basis'!C$4:C$11)*Model!K111*(1+LOOKUP(I111,'Cost Basis'!A$4:A$15,'Cost Basis'!F$3:F$15)),LOOKUP(Model!I111,'Cost Basis'!A$4:A$15,'Cost Basis'!C$4:C$15)*ROUNDUP(Model!K111/5280/30,0))*(1+LOOKUP(I111,'Cost Basis'!A$4:A$15,'Cost Basis'!F$4:F$15))))</f>
        <v>27428178.400000006</v>
      </c>
      <c r="M111" s="264">
        <f t="shared" ca="1" si="9"/>
        <v>28203678.400000006</v>
      </c>
      <c r="N111" s="64" t="s">
        <v>590</v>
      </c>
      <c r="O111" s="253" t="s">
        <v>993</v>
      </c>
      <c r="P111" s="69"/>
      <c r="Q111" s="2">
        <f t="shared" si="6"/>
        <v>1</v>
      </c>
      <c r="R111" s="221">
        <f t="shared" si="5"/>
        <v>116.08787878787879</v>
      </c>
    </row>
    <row r="112" spans="1:18" x14ac:dyDescent="0.3">
      <c r="A112" s="80">
        <v>1.0079999999999991</v>
      </c>
      <c r="B112" s="59" t="s">
        <v>5</v>
      </c>
      <c r="C112" s="59" t="s">
        <v>13</v>
      </c>
      <c r="D112" s="118">
        <v>49</v>
      </c>
      <c r="E112" s="118">
        <v>33</v>
      </c>
      <c r="F112" s="59"/>
      <c r="G112" s="59" t="s">
        <v>415</v>
      </c>
      <c r="H112" s="60">
        <f>IF(B112="Projects","N/A",IF(B112="Served","N/A",('Cost Basis'!E$3+('Cost Basis'!C$3*Model!D112))*(1+'Cost Basis'!F$3)))</f>
        <v>569250</v>
      </c>
      <c r="I112" s="123" t="s">
        <v>416</v>
      </c>
      <c r="J112" s="59" t="s">
        <v>63</v>
      </c>
      <c r="K112" s="61">
        <v>102700</v>
      </c>
      <c r="L112" s="62">
        <f ca="1">IF(K112=0,"N/A",(LOOKUP(I112,'Cost Basis'!A$4:A$15,'Cost Basis'!E$4:E$15)+IF(LOOKUP(Model!I112,'Cost Basis'!A$4:A$11)=I112,LOOKUP(Model!I112,'Cost Basis'!A$4:A$11,'Cost Basis'!C$4:C$11)*Model!K112*(1+LOOKUP(I112,'Cost Basis'!A$4:A$15,'Cost Basis'!F$3:F$15)),LOOKUP(Model!I112,'Cost Basis'!A$4:A$15,'Cost Basis'!C$4:C$15)*ROUNDUP(Model!K112/5280/30,0))*(1+LOOKUP(I112,'Cost Basis'!A$4:A$15,'Cost Basis'!F$4:F$15))))</f>
        <v>5819345.0000000009</v>
      </c>
      <c r="M112" s="264">
        <f t="shared" ca="1" si="9"/>
        <v>6388595.0000000009</v>
      </c>
      <c r="N112" s="64" t="s">
        <v>594</v>
      </c>
      <c r="O112" s="253" t="s">
        <v>993</v>
      </c>
      <c r="P112" s="69"/>
      <c r="Q112" s="2">
        <f t="shared" si="6"/>
        <v>1</v>
      </c>
      <c r="R112" s="221">
        <f t="shared" si="5"/>
        <v>19.450757575757574</v>
      </c>
    </row>
    <row r="113" spans="1:18" x14ac:dyDescent="0.3">
      <c r="A113" s="80">
        <v>1.1519999999999833</v>
      </c>
      <c r="B113" s="59" t="s">
        <v>5</v>
      </c>
      <c r="C113" s="59" t="s">
        <v>153</v>
      </c>
      <c r="D113" s="118">
        <v>34</v>
      </c>
      <c r="E113" s="118">
        <v>18</v>
      </c>
      <c r="F113" s="59"/>
      <c r="G113" s="59" t="s">
        <v>415</v>
      </c>
      <c r="H113" s="60">
        <f>IF(B113="Projects","N/A",IF(B113="Served","N/A",('Cost Basis'!E$3+('Cost Basis'!C$3*Model!D113))*(1+'Cost Basis'!F$3)))</f>
        <v>445500.00000000006</v>
      </c>
      <c r="I113" s="123" t="s">
        <v>421</v>
      </c>
      <c r="J113" s="59" t="s">
        <v>13</v>
      </c>
      <c r="K113" s="61">
        <v>115954</v>
      </c>
      <c r="L113" s="62">
        <f ca="1">IF(K113=0,"N/A",(LOOKUP(I113,'Cost Basis'!A$4:A$15,'Cost Basis'!E$4:E$15)+IF(LOOKUP(Model!I113,'Cost Basis'!A$4:A$11)=I113,LOOKUP(Model!I113,'Cost Basis'!A$4:A$11,'Cost Basis'!C$4:C$11)*Model!K113*(1+LOOKUP(I113,'Cost Basis'!A$4:A$15,'Cost Basis'!F$3:F$15)),LOOKUP(Model!I113,'Cost Basis'!A$4:A$15,'Cost Basis'!C$4:C$15)*ROUNDUP(Model!K113/5280/30,0))*(1+LOOKUP(I113,'Cost Basis'!A$4:A$15,'Cost Basis'!F$4:F$15))))</f>
        <v>5408521.5200000005</v>
      </c>
      <c r="M113" s="264">
        <f t="shared" ca="1" si="9"/>
        <v>5854021.5200000005</v>
      </c>
      <c r="N113" s="64" t="s">
        <v>597</v>
      </c>
      <c r="O113" s="253" t="s">
        <v>993</v>
      </c>
      <c r="P113" s="69"/>
      <c r="Q113" s="2">
        <f t="shared" si="6"/>
        <v>1</v>
      </c>
      <c r="R113" s="221">
        <f t="shared" si="5"/>
        <v>21.960984848484848</v>
      </c>
    </row>
    <row r="114" spans="1:18" x14ac:dyDescent="0.3">
      <c r="A114" s="80">
        <v>1.063999999999993</v>
      </c>
      <c r="B114" s="59" t="s">
        <v>5</v>
      </c>
      <c r="C114" s="59" t="s">
        <v>66</v>
      </c>
      <c r="D114" s="118">
        <v>114</v>
      </c>
      <c r="E114" s="118">
        <v>90</v>
      </c>
      <c r="F114" s="59"/>
      <c r="G114" s="59" t="s">
        <v>415</v>
      </c>
      <c r="H114" s="60">
        <f>IF(B114="Projects","N/A",IF(B114="Served","N/A",('Cost Basis'!E$3+('Cost Basis'!C$3*Model!D114))*(1+'Cost Basis'!F$3)))</f>
        <v>1105500</v>
      </c>
      <c r="I114" s="123" t="s">
        <v>416</v>
      </c>
      <c r="J114" s="59" t="s">
        <v>13</v>
      </c>
      <c r="K114" s="61">
        <v>207000</v>
      </c>
      <c r="L114" s="62">
        <f ca="1">IF(K114=0,"N/A",(LOOKUP(I114,'Cost Basis'!A$4:A$15,'Cost Basis'!E$4:E$15)+IF(LOOKUP(Model!I114,'Cost Basis'!A$4:A$11)=I114,LOOKUP(Model!I114,'Cost Basis'!A$4:A$11,'Cost Basis'!C$4:C$11)*Model!K114*(1+LOOKUP(I114,'Cost Basis'!A$4:A$15,'Cost Basis'!F$3:F$15)),LOOKUP(Model!I114,'Cost Basis'!A$4:A$15,'Cost Basis'!C$4:C$15)*ROUNDUP(Model!K114/5280/30,0))*(1+LOOKUP(I114,'Cost Basis'!A$4:A$15,'Cost Basis'!F$4:F$15))))</f>
        <v>10236450.000000002</v>
      </c>
      <c r="M114" s="264">
        <f t="shared" ca="1" si="9"/>
        <v>11341950.000000002</v>
      </c>
      <c r="N114" s="64" t="s">
        <v>511</v>
      </c>
      <c r="O114" s="253" t="s">
        <v>993</v>
      </c>
      <c r="P114" s="69"/>
      <c r="Q114" s="2">
        <f t="shared" si="6"/>
        <v>1</v>
      </c>
      <c r="R114" s="221">
        <f t="shared" si="5"/>
        <v>39.204545454545453</v>
      </c>
    </row>
    <row r="115" spans="1:18" x14ac:dyDescent="0.3">
      <c r="A115" s="80">
        <v>1.1469999999999838</v>
      </c>
      <c r="B115" s="59" t="s">
        <v>5</v>
      </c>
      <c r="C115" s="59" t="s">
        <v>148</v>
      </c>
      <c r="D115" s="118">
        <v>29</v>
      </c>
      <c r="E115" s="118">
        <v>25</v>
      </c>
      <c r="F115" s="59"/>
      <c r="G115" s="59" t="s">
        <v>415</v>
      </c>
      <c r="H115" s="60">
        <f>IF(B115="Projects","N/A",IF(B115="Served","N/A",('Cost Basis'!E$3+('Cost Basis'!C$3*Model!D115))*(1+'Cost Basis'!F$3)))</f>
        <v>404250.00000000006</v>
      </c>
      <c r="I115" s="123" t="s">
        <v>416</v>
      </c>
      <c r="J115" s="59" t="s">
        <v>459</v>
      </c>
      <c r="K115" s="61">
        <v>140900</v>
      </c>
      <c r="L115" s="62">
        <f ca="1">IF(K115=0,"N/A",(LOOKUP(I115,'Cost Basis'!A$4:A$15,'Cost Basis'!E$4:E$15)+IF(LOOKUP(Model!I115,'Cost Basis'!A$4:A$11)=I115,LOOKUP(Model!I115,'Cost Basis'!A$4:A$11,'Cost Basis'!C$4:C$11)*Model!K115*(1+LOOKUP(I115,'Cost Basis'!A$4:A$15,'Cost Basis'!F$3:F$15)),LOOKUP(Model!I115,'Cost Basis'!A$4:A$15,'Cost Basis'!C$4:C$15)*ROUNDUP(Model!K115/5280/30,0))*(1+LOOKUP(I115,'Cost Basis'!A$4:A$15,'Cost Basis'!F$4:F$15))))</f>
        <v>7437115.0000000009</v>
      </c>
      <c r="M115" s="264">
        <f t="shared" ca="1" si="9"/>
        <v>7841365.0000000009</v>
      </c>
      <c r="N115" s="64" t="s">
        <v>534</v>
      </c>
      <c r="O115" s="253" t="s">
        <v>990</v>
      </c>
      <c r="P115" s="69"/>
      <c r="Q115" s="2">
        <f t="shared" si="6"/>
        <v>1</v>
      </c>
      <c r="R115" s="221">
        <f t="shared" si="5"/>
        <v>26.685606060606062</v>
      </c>
    </row>
    <row r="116" spans="1:18" x14ac:dyDescent="0.3">
      <c r="A116" s="80">
        <v>1.0869999999999904</v>
      </c>
      <c r="B116" s="59" t="s">
        <v>5</v>
      </c>
      <c r="C116" s="59" t="s">
        <v>89</v>
      </c>
      <c r="D116" s="118">
        <v>64</v>
      </c>
      <c r="E116" s="118">
        <v>41</v>
      </c>
      <c r="F116" s="59"/>
      <c r="G116" s="59" t="s">
        <v>415</v>
      </c>
      <c r="H116" s="60">
        <f>IF(B116="Projects","N/A",IF(B116="Served","N/A",('Cost Basis'!E$3+('Cost Basis'!C$3*Model!D116))*(1+'Cost Basis'!F$3)))</f>
        <v>693000</v>
      </c>
      <c r="I116" s="123" t="s">
        <v>416</v>
      </c>
      <c r="J116" s="59" t="s">
        <v>220</v>
      </c>
      <c r="K116" s="61">
        <f>336100+128900</f>
        <v>465000</v>
      </c>
      <c r="L116" s="62">
        <f ca="1">IF(K116=0,"N/A",(LOOKUP(I116,'Cost Basis'!A$4:A$15,'Cost Basis'!E$4:E$15)+IF(LOOKUP(Model!I116,'Cost Basis'!A$4:A$11)=I116,LOOKUP(Model!I116,'Cost Basis'!A$4:A$11,'Cost Basis'!C$4:C$11)*Model!K116*(1+LOOKUP(I116,'Cost Basis'!A$4:A$15,'Cost Basis'!F$3:F$15)),LOOKUP(Model!I116,'Cost Basis'!A$4:A$15,'Cost Basis'!C$4:C$15)*ROUNDUP(Model!K116/5280/30,0))*(1+LOOKUP(I116,'Cost Basis'!A$4:A$15,'Cost Basis'!F$4:F$15))))</f>
        <v>21162750</v>
      </c>
      <c r="M116" s="264">
        <f t="shared" ca="1" si="9"/>
        <v>21855750</v>
      </c>
      <c r="N116" s="64" t="s">
        <v>550</v>
      </c>
      <c r="O116" s="253" t="s">
        <v>990</v>
      </c>
      <c r="P116" s="69"/>
      <c r="Q116" s="2">
        <f t="shared" si="6"/>
        <v>1</v>
      </c>
      <c r="R116" s="221">
        <f t="shared" si="5"/>
        <v>88.068181818181813</v>
      </c>
    </row>
    <row r="117" spans="1:18" x14ac:dyDescent="0.3">
      <c r="A117" s="80">
        <v>1.1319999999999855</v>
      </c>
      <c r="B117" s="59" t="s">
        <v>5</v>
      </c>
      <c r="C117" s="59" t="s">
        <v>133</v>
      </c>
      <c r="D117" s="118">
        <v>95</v>
      </c>
      <c r="E117" s="118">
        <v>93</v>
      </c>
      <c r="F117" s="59"/>
      <c r="G117" s="59" t="s">
        <v>415</v>
      </c>
      <c r="H117" s="60">
        <f>IF(B117="Projects","N/A",IF(B117="Served","N/A",('Cost Basis'!E$3+('Cost Basis'!C$3*Model!D117))*(1+'Cost Basis'!F$3)))</f>
        <v>948750.00000000012</v>
      </c>
      <c r="I117" s="123" t="s">
        <v>416</v>
      </c>
      <c r="J117" s="59" t="s">
        <v>89</v>
      </c>
      <c r="K117" s="61">
        <v>231300</v>
      </c>
      <c r="L117" s="62">
        <f ca="1">IF(K117=0,"N/A",(LOOKUP(I117,'Cost Basis'!A$4:A$15,'Cost Basis'!E$4:E$15)+IF(LOOKUP(Model!I117,'Cost Basis'!A$4:A$11)=I117,LOOKUP(Model!I117,'Cost Basis'!A$4:A$11,'Cost Basis'!C$4:C$11)*Model!K117*(1+LOOKUP(I117,'Cost Basis'!A$4:A$15,'Cost Basis'!F$3:F$15)),LOOKUP(Model!I117,'Cost Basis'!A$4:A$15,'Cost Basis'!C$4:C$15)*ROUNDUP(Model!K117/5280/30,0))*(1+LOOKUP(I117,'Cost Basis'!A$4:A$15,'Cost Basis'!F$4:F$15))))</f>
        <v>11265555</v>
      </c>
      <c r="M117" s="264">
        <f t="shared" ca="1" si="9"/>
        <v>12214305</v>
      </c>
      <c r="N117" s="64" t="s">
        <v>566</v>
      </c>
      <c r="O117" s="253" t="s">
        <v>990</v>
      </c>
      <c r="P117" s="69"/>
      <c r="Q117" s="2">
        <f t="shared" si="6"/>
        <v>1</v>
      </c>
      <c r="R117" s="221">
        <f t="shared" si="5"/>
        <v>43.80681818181818</v>
      </c>
    </row>
    <row r="118" spans="1:18" x14ac:dyDescent="0.3">
      <c r="A118" s="80">
        <v>1.1329999999999854</v>
      </c>
      <c r="B118" s="59" t="s">
        <v>5</v>
      </c>
      <c r="C118" s="59" t="s">
        <v>134</v>
      </c>
      <c r="D118" s="118">
        <v>35</v>
      </c>
      <c r="E118" s="118">
        <v>26</v>
      </c>
      <c r="F118" s="59"/>
      <c r="G118" s="59" t="s">
        <v>415</v>
      </c>
      <c r="H118" s="60">
        <f>IF(B118="Projects","N/A",IF(B118="Served","N/A",('Cost Basis'!E$3+('Cost Basis'!C$3*Model!D118))*(1+'Cost Basis'!F$3)))</f>
        <v>453750.00000000006</v>
      </c>
      <c r="I118" s="123" t="s">
        <v>416</v>
      </c>
      <c r="J118" s="59" t="s">
        <v>133</v>
      </c>
      <c r="K118" s="61">
        <v>110300</v>
      </c>
      <c r="L118" s="62">
        <f ca="1">IF(K118=0,"N/A",(LOOKUP(I118,'Cost Basis'!A$4:A$15,'Cost Basis'!E$4:E$15)+IF(LOOKUP(Model!I118,'Cost Basis'!A$4:A$11)=I118,LOOKUP(Model!I118,'Cost Basis'!A$4:A$11,'Cost Basis'!C$4:C$11)*Model!K118*(1+LOOKUP(I118,'Cost Basis'!A$4:A$15,'Cost Basis'!F$3:F$15)),LOOKUP(Model!I118,'Cost Basis'!A$4:A$15,'Cost Basis'!C$4:C$15)*ROUNDUP(Model!K118/5280/30,0))*(1+LOOKUP(I118,'Cost Basis'!A$4:A$15,'Cost Basis'!F$4:F$15))))</f>
        <v>6141205</v>
      </c>
      <c r="M118" s="264">
        <f t="shared" ca="1" si="9"/>
        <v>6594955</v>
      </c>
      <c r="N118" s="64" t="s">
        <v>574</v>
      </c>
      <c r="O118" s="253" t="s">
        <v>990</v>
      </c>
      <c r="P118" s="69"/>
      <c r="Q118" s="2">
        <f t="shared" si="6"/>
        <v>1</v>
      </c>
      <c r="R118" s="221">
        <f t="shared" si="5"/>
        <v>20.890151515151516</v>
      </c>
    </row>
    <row r="119" spans="1:18" x14ac:dyDescent="0.3">
      <c r="A119" s="80">
        <v>1.1609999999999823</v>
      </c>
      <c r="B119" s="59" t="s">
        <v>5</v>
      </c>
      <c r="C119" s="59" t="s">
        <v>162</v>
      </c>
      <c r="D119" s="118">
        <v>210</v>
      </c>
      <c r="E119" s="118">
        <v>171</v>
      </c>
      <c r="F119" s="59"/>
      <c r="G119" s="59" t="s">
        <v>415</v>
      </c>
      <c r="H119" s="60">
        <f>IF(B119="Projects","N/A",IF(B119="Served","N/A",('Cost Basis'!E$3+('Cost Basis'!C$3*Model!D119))*(1+'Cost Basis'!F$3)))</f>
        <v>1897500.0000000002</v>
      </c>
      <c r="I119" s="123" t="s">
        <v>414</v>
      </c>
      <c r="J119" s="59" t="s">
        <v>134</v>
      </c>
      <c r="K119" s="61">
        <v>25300</v>
      </c>
      <c r="L119" s="62">
        <f ca="1">IF(K119=0,"N/A",(LOOKUP(I119,'Cost Basis'!A$4:A$15,'Cost Basis'!E$4:E$15)+IF(LOOKUP(Model!I119,'Cost Basis'!A$4:A$11)=I119,LOOKUP(Model!I119,'Cost Basis'!A$4:A$11,'Cost Basis'!C$4:C$11)*Model!K119*(1+LOOKUP(I119,'Cost Basis'!A$4:A$15,'Cost Basis'!F$3:F$15)),LOOKUP(Model!I119,'Cost Basis'!A$4:A$15,'Cost Basis'!C$4:C$15)*ROUNDUP(Model!K119/5280/30,0))*(1+LOOKUP(I119,'Cost Basis'!A$4:A$15,'Cost Basis'!F$4:F$15))))</f>
        <v>2144712</v>
      </c>
      <c r="M119" s="264">
        <f t="shared" ca="1" si="9"/>
        <v>4042212</v>
      </c>
      <c r="N119" s="64" t="s">
        <v>583</v>
      </c>
      <c r="O119" s="253" t="s">
        <v>990</v>
      </c>
      <c r="P119" s="69"/>
      <c r="Q119" s="2">
        <f t="shared" si="6"/>
        <v>1</v>
      </c>
      <c r="R119" s="221">
        <f t="shared" si="5"/>
        <v>4.791666666666667</v>
      </c>
    </row>
    <row r="120" spans="1:18" x14ac:dyDescent="0.3">
      <c r="A120" s="80">
        <v>1.0989999999999891</v>
      </c>
      <c r="B120" s="59" t="s">
        <v>5</v>
      </c>
      <c r="C120" s="59" t="s">
        <v>100</v>
      </c>
      <c r="D120" s="118">
        <v>261</v>
      </c>
      <c r="E120" s="118">
        <v>236</v>
      </c>
      <c r="F120" s="59"/>
      <c r="G120" s="59" t="s">
        <v>415</v>
      </c>
      <c r="H120" s="60">
        <f>IF(B120="Projects","N/A",IF(B120="Served","N/A",('Cost Basis'!E$3+('Cost Basis'!C$3*Model!D120))*(1+'Cost Basis'!F$3)))</f>
        <v>2318250</v>
      </c>
      <c r="I120" s="123" t="s">
        <v>416</v>
      </c>
      <c r="J120" s="59" t="s">
        <v>134</v>
      </c>
      <c r="K120" s="61">
        <v>86036</v>
      </c>
      <c r="L120" s="62">
        <f ca="1">IF(K120=0,"N/A",(LOOKUP(I120,'Cost Basis'!A$4:A$15,'Cost Basis'!E$4:E$15)+IF(LOOKUP(Model!I120,'Cost Basis'!A$4:A$11)=I120,LOOKUP(Model!I120,'Cost Basis'!A$4:A$11,'Cost Basis'!C$4:C$11)*Model!K120*(1+LOOKUP(I120,'Cost Basis'!A$4:A$15,'Cost Basis'!F$3:F$15)),LOOKUP(Model!I120,'Cost Basis'!A$4:A$15,'Cost Basis'!C$4:C$15)*ROUNDUP(Model!K120/5280/30,0))*(1+LOOKUP(I120,'Cost Basis'!A$4:A$15,'Cost Basis'!F$4:F$15))))</f>
        <v>5113624.6000000015</v>
      </c>
      <c r="M120" s="264">
        <f t="shared" ca="1" si="9"/>
        <v>7431874.6000000015</v>
      </c>
      <c r="N120" s="64" t="s">
        <v>586</v>
      </c>
      <c r="O120" s="253" t="s">
        <v>990</v>
      </c>
      <c r="P120" s="69"/>
      <c r="Q120" s="2">
        <f t="shared" si="6"/>
        <v>1</v>
      </c>
      <c r="R120" s="221">
        <f t="shared" si="5"/>
        <v>16.294696969696968</v>
      </c>
    </row>
    <row r="121" spans="1:18" x14ac:dyDescent="0.3">
      <c r="A121" s="80">
        <v>1.0509999999999944</v>
      </c>
      <c r="B121" s="59" t="s">
        <v>5</v>
      </c>
      <c r="C121" s="59" t="s">
        <v>53</v>
      </c>
      <c r="D121" s="118">
        <v>309</v>
      </c>
      <c r="E121" s="118">
        <v>275</v>
      </c>
      <c r="F121" s="59"/>
      <c r="G121" s="59" t="s">
        <v>415</v>
      </c>
      <c r="H121" s="60">
        <f>IF(B121="Projects","N/A",IF(B121="Served","N/A",('Cost Basis'!E$3+('Cost Basis'!C$3*Model!D121))*(1+'Cost Basis'!F$3)))</f>
        <v>2714250</v>
      </c>
      <c r="I121" s="123" t="s">
        <v>416</v>
      </c>
      <c r="J121" s="59" t="s">
        <v>100</v>
      </c>
      <c r="K121" s="61">
        <v>388220</v>
      </c>
      <c r="L121" s="62">
        <f ca="1">IF(K121=0,"N/A",(LOOKUP(I121,'Cost Basis'!A$4:A$15,'Cost Basis'!E$4:E$15)+IF(LOOKUP(Model!I121,'Cost Basis'!A$4:A$11)=I121,LOOKUP(Model!I121,'Cost Basis'!A$4:A$11,'Cost Basis'!C$4:C$11)*Model!K121*(1+LOOKUP(I121,'Cost Basis'!A$4:A$15,'Cost Basis'!F$3:F$15)),LOOKUP(Model!I121,'Cost Basis'!A$4:A$15,'Cost Basis'!C$4:C$15)*ROUNDUP(Model!K121/5280/30,0))*(1+LOOKUP(I121,'Cost Basis'!A$4:A$15,'Cost Basis'!F$4:F$15))))</f>
        <v>17911117.000000004</v>
      </c>
      <c r="M121" s="264">
        <f t="shared" ca="1" si="9"/>
        <v>20625367.000000004</v>
      </c>
      <c r="N121" s="64" t="s">
        <v>589</v>
      </c>
      <c r="O121" s="253" t="s">
        <v>990</v>
      </c>
      <c r="P121" s="69" t="s">
        <v>426</v>
      </c>
      <c r="Q121" s="2">
        <f t="shared" si="6"/>
        <v>1</v>
      </c>
      <c r="R121" s="221">
        <f t="shared" si="5"/>
        <v>73.526515151515156</v>
      </c>
    </row>
    <row r="122" spans="1:18" x14ac:dyDescent="0.3">
      <c r="A122" s="80">
        <v>1.0039999999999996</v>
      </c>
      <c r="B122" s="59" t="s">
        <v>5</v>
      </c>
      <c r="C122" s="59" t="s">
        <v>8</v>
      </c>
      <c r="D122" s="118">
        <v>253</v>
      </c>
      <c r="E122" s="118">
        <v>228</v>
      </c>
      <c r="F122" s="59"/>
      <c r="G122" s="59" t="s">
        <v>415</v>
      </c>
      <c r="H122" s="60">
        <f>IF(B122="Projects","N/A",IF(B122="Served","N/A",('Cost Basis'!E$3+('Cost Basis'!C$3*Model!D122))*(1+'Cost Basis'!F$3)))</f>
        <v>2252250</v>
      </c>
      <c r="I122" s="123" t="s">
        <v>416</v>
      </c>
      <c r="J122" s="59" t="s">
        <v>53</v>
      </c>
      <c r="K122" s="61">
        <v>52800</v>
      </c>
      <c r="L122" s="62">
        <f ca="1">IF(K122=0,"N/A",(LOOKUP(I122,'Cost Basis'!A$4:A$15,'Cost Basis'!E$4:E$15)+IF(LOOKUP(Model!I122,'Cost Basis'!A$4:A$11)=I122,LOOKUP(Model!I122,'Cost Basis'!A$4:A$11,'Cost Basis'!C$4:C$11)*Model!K122*(1+LOOKUP(I122,'Cost Basis'!A$4:A$15,'Cost Basis'!F$3:F$15)),LOOKUP(Model!I122,'Cost Basis'!A$4:A$15,'Cost Basis'!C$4:C$15)*ROUNDUP(Model!K122/5280/30,0))*(1+LOOKUP(I122,'Cost Basis'!A$4:A$15,'Cost Basis'!F$4:F$15))))</f>
        <v>3706080.0000000005</v>
      </c>
      <c r="M122" s="264">
        <f t="shared" ca="1" si="9"/>
        <v>5958330</v>
      </c>
      <c r="N122" s="64" t="s">
        <v>593</v>
      </c>
      <c r="O122" s="253" t="s">
        <v>990</v>
      </c>
      <c r="P122" s="69"/>
      <c r="Q122" s="2">
        <f t="shared" si="6"/>
        <v>1</v>
      </c>
      <c r="R122" s="221">
        <f t="shared" si="5"/>
        <v>10</v>
      </c>
    </row>
    <row r="123" spans="1:18" x14ac:dyDescent="0.3">
      <c r="A123" s="80">
        <v>1.1119999999999877</v>
      </c>
      <c r="B123" s="59" t="s">
        <v>5</v>
      </c>
      <c r="C123" s="59" t="s">
        <v>113</v>
      </c>
      <c r="D123" s="118">
        <v>38</v>
      </c>
      <c r="E123" s="118">
        <v>28</v>
      </c>
      <c r="F123" s="59"/>
      <c r="G123" s="59" t="s">
        <v>415</v>
      </c>
      <c r="H123" s="60">
        <f>IF(B123="Projects","N/A",IF(B123="Served","N/A",('Cost Basis'!E$3+('Cost Basis'!C$3*Model!D123))*(1+'Cost Basis'!F$3)))</f>
        <v>478500.00000000006</v>
      </c>
      <c r="I123" s="123" t="s">
        <v>416</v>
      </c>
      <c r="J123" s="59" t="s">
        <v>8</v>
      </c>
      <c r="K123" s="61">
        <v>87100</v>
      </c>
      <c r="L123" s="62">
        <f ca="1">IF(K123=0,"N/A",(LOOKUP(I123,'Cost Basis'!A$4:A$15,'Cost Basis'!E$4:E$15)+IF(LOOKUP(Model!I123,'Cost Basis'!A$4:A$11)=I123,LOOKUP(Model!I123,'Cost Basis'!A$4:A$11,'Cost Basis'!C$4:C$11)*Model!K123*(1+LOOKUP(I123,'Cost Basis'!A$4:A$15,'Cost Basis'!F$3:F$15)),LOOKUP(Model!I123,'Cost Basis'!A$4:A$15,'Cost Basis'!C$4:C$15)*ROUNDUP(Model!K123/5280/30,0))*(1+LOOKUP(I123,'Cost Basis'!A$4:A$15,'Cost Basis'!F$4:F$15))))</f>
        <v>5158685.0000000009</v>
      </c>
      <c r="M123" s="264">
        <f t="shared" ca="1" si="9"/>
        <v>5637185.0000000009</v>
      </c>
      <c r="N123" s="64" t="s">
        <v>596</v>
      </c>
      <c r="O123" s="253" t="s">
        <v>990</v>
      </c>
      <c r="P123" s="69"/>
      <c r="Q123" s="2">
        <f t="shared" si="6"/>
        <v>1</v>
      </c>
      <c r="R123" s="221">
        <f t="shared" si="5"/>
        <v>16.496212121212121</v>
      </c>
    </row>
    <row r="124" spans="1:18" x14ac:dyDescent="0.3">
      <c r="A124" s="80">
        <v>1.1489999999999836</v>
      </c>
      <c r="B124" s="59" t="s">
        <v>5</v>
      </c>
      <c r="C124" s="59" t="s">
        <v>150</v>
      </c>
      <c r="D124" s="118">
        <v>105</v>
      </c>
      <c r="E124" s="118">
        <v>96</v>
      </c>
      <c r="F124" s="59"/>
      <c r="G124" s="59" t="s">
        <v>415</v>
      </c>
      <c r="H124" s="60">
        <f>IF(B124="Projects","N/A",IF(B124="Served","N/A",('Cost Basis'!E$3+('Cost Basis'!C$3*Model!D124))*(1+'Cost Basis'!F$3)))</f>
        <v>1031250.0000000001</v>
      </c>
      <c r="I124" s="123" t="s">
        <v>411</v>
      </c>
      <c r="J124" s="59" t="s">
        <v>113</v>
      </c>
      <c r="K124" s="61">
        <v>281000</v>
      </c>
      <c r="L124" s="62">
        <f ca="1">IF(K124=0,"N/A",(LOOKUP(I124,'Cost Basis'!A$4:A$15,'Cost Basis'!E$4:E$15)+IF(LOOKUP(Model!I124,'Cost Basis'!A$4:A$11)=I124,LOOKUP(Model!I124,'Cost Basis'!A$4:A$11,'Cost Basis'!C$4:C$11)*Model!K124*(1+LOOKUP(I124,'Cost Basis'!A$4:A$15,'Cost Basis'!F$3:F$15)),LOOKUP(Model!I124,'Cost Basis'!A$4:A$15,'Cost Basis'!C$4:C$15)*ROUNDUP(Model!K124/5280/30,0))*(1+LOOKUP(I124,'Cost Basis'!A$4:A$15,'Cost Basis'!F$4:F$15))))</f>
        <v>13400350.000000002</v>
      </c>
      <c r="M124" s="264">
        <f t="shared" ca="1" si="9"/>
        <v>14431600.000000002</v>
      </c>
      <c r="N124" s="64" t="s">
        <v>512</v>
      </c>
      <c r="O124" s="253" t="s">
        <v>990</v>
      </c>
      <c r="P124" s="69"/>
      <c r="Q124" s="2">
        <f t="shared" si="6"/>
        <v>1</v>
      </c>
      <c r="R124" s="221">
        <f t="shared" si="5"/>
        <v>53.219696969696969</v>
      </c>
    </row>
    <row r="125" spans="1:18" x14ac:dyDescent="0.3">
      <c r="A125" s="80">
        <v>1.0769999999999915</v>
      </c>
      <c r="B125" s="59" t="s">
        <v>5</v>
      </c>
      <c r="C125" s="59" t="s">
        <v>79</v>
      </c>
      <c r="D125" s="118">
        <v>272</v>
      </c>
      <c r="E125" s="118">
        <v>245</v>
      </c>
      <c r="F125" s="59"/>
      <c r="G125" s="59" t="s">
        <v>415</v>
      </c>
      <c r="H125" s="60">
        <f>IF(B125="Projects","N/A",IF(B125="Served","N/A",('Cost Basis'!E$3+('Cost Basis'!C$3*Model!D125))*(1+'Cost Basis'!F$3)))</f>
        <v>2409000</v>
      </c>
      <c r="I125" s="123" t="s">
        <v>421</v>
      </c>
      <c r="J125" s="59" t="s">
        <v>53</v>
      </c>
      <c r="K125" s="61">
        <v>232300</v>
      </c>
      <c r="L125" s="62">
        <f ca="1">IF(K125=0,"N/A",(LOOKUP(I125,'Cost Basis'!A$4:A$15,'Cost Basis'!E$4:E$15)+IF(LOOKUP(Model!I125,'Cost Basis'!A$4:A$11)=I125,LOOKUP(Model!I125,'Cost Basis'!A$4:A$11,'Cost Basis'!C$4:C$11)*Model!K125*(1+LOOKUP(I125,'Cost Basis'!A$4:A$15,'Cost Basis'!F$3:F$15)),LOOKUP(Model!I125,'Cost Basis'!A$4:A$15,'Cost Basis'!C$4:C$15)*ROUNDUP(Model!K125/5280/30,0))*(1+LOOKUP(I125,'Cost Basis'!A$4:A$15,'Cost Basis'!F$4:F$15))))</f>
        <v>9350324.0000000019</v>
      </c>
      <c r="M125" s="264">
        <f t="shared" ca="1" si="9"/>
        <v>11759324.000000002</v>
      </c>
      <c r="N125" s="64" t="s">
        <v>513</v>
      </c>
      <c r="O125" s="253" t="s">
        <v>990</v>
      </c>
      <c r="P125" s="69"/>
      <c r="Q125" s="2">
        <f t="shared" si="6"/>
        <v>1</v>
      </c>
      <c r="R125" s="221">
        <f t="shared" si="5"/>
        <v>43.996212121212125</v>
      </c>
    </row>
    <row r="126" spans="1:18" x14ac:dyDescent="0.3">
      <c r="A126" s="80">
        <v>1.0649999999999928</v>
      </c>
      <c r="B126" s="59" t="s">
        <v>5</v>
      </c>
      <c r="C126" s="59" t="s">
        <v>67</v>
      </c>
      <c r="D126" s="118">
        <v>366</v>
      </c>
      <c r="E126" s="118">
        <v>271</v>
      </c>
      <c r="F126" s="59"/>
      <c r="G126" s="59" t="s">
        <v>415</v>
      </c>
      <c r="H126" s="60">
        <f>IF(B126="Projects","N/A",IF(B126="Served","N/A",('Cost Basis'!E$3+('Cost Basis'!C$3*Model!D126))*(1+'Cost Basis'!F$3)))</f>
        <v>3184500.0000000005</v>
      </c>
      <c r="I126" s="123" t="s">
        <v>412</v>
      </c>
      <c r="J126" s="59" t="s">
        <v>440</v>
      </c>
      <c r="K126" s="61">
        <v>329000</v>
      </c>
      <c r="L126" s="62">
        <f ca="1">IF(K126=0,"N/A",(LOOKUP(I126,'Cost Basis'!A$4:A$15,'Cost Basis'!E$4:E$15)+IF(LOOKUP(Model!I126,'Cost Basis'!A$4:A$11)=I126,LOOKUP(Model!I126,'Cost Basis'!A$4:A$11,'Cost Basis'!C$4:C$11)*Model!K126*(1+LOOKUP(I126,'Cost Basis'!A$4:A$15,'Cost Basis'!F$3:F$15)),LOOKUP(Model!I126,'Cost Basis'!A$4:A$15,'Cost Basis'!C$4:C$15)*ROUNDUP(Model!K126/5280/30,0))*(1+LOOKUP(I126,'Cost Basis'!A$4:A$15,'Cost Basis'!F$4:F$15))))</f>
        <v>14448880.000000004</v>
      </c>
      <c r="M126" s="264">
        <f t="shared" ca="1" si="9"/>
        <v>17633380.000000004</v>
      </c>
      <c r="N126" s="64" t="s">
        <v>524</v>
      </c>
      <c r="O126" s="253" t="s">
        <v>996</v>
      </c>
      <c r="P126" s="69"/>
      <c r="Q126" s="2">
        <f t="shared" si="6"/>
        <v>1</v>
      </c>
      <c r="R126" s="221">
        <f t="shared" si="5"/>
        <v>62.310606060606062</v>
      </c>
    </row>
    <row r="127" spans="1:18" x14ac:dyDescent="0.3">
      <c r="A127" s="80">
        <v>1.1769999999999805</v>
      </c>
      <c r="B127" s="59" t="s">
        <v>5</v>
      </c>
      <c r="C127" s="59" t="s">
        <v>177</v>
      </c>
      <c r="D127" s="118">
        <v>44</v>
      </c>
      <c r="E127" s="118">
        <v>0</v>
      </c>
      <c r="F127" s="59"/>
      <c r="G127" s="59" t="s">
        <v>415</v>
      </c>
      <c r="H127" s="60">
        <f>IF(B127="Projects","N/A",IF(B127="Served","N/A",('Cost Basis'!E$3+('Cost Basis'!C$3*Model!D127))*(1+'Cost Basis'!F$3)))</f>
        <v>528000</v>
      </c>
      <c r="I127" s="123" t="s">
        <v>412</v>
      </c>
      <c r="J127" s="59" t="s">
        <v>435</v>
      </c>
      <c r="K127" s="61">
        <v>104600</v>
      </c>
      <c r="L127" s="62">
        <f ca="1">IF(K127=0,"N/A",(LOOKUP(I127,'Cost Basis'!A$4:A$15,'Cost Basis'!E$4:E$15)+IF(LOOKUP(Model!I127,'Cost Basis'!A$4:A$11)=I127,LOOKUP(Model!I127,'Cost Basis'!A$4:A$11,'Cost Basis'!C$4:C$11)*Model!K127*(1+LOOKUP(I127,'Cost Basis'!A$4:A$15,'Cost Basis'!F$3:F$15)),LOOKUP(Model!I127,'Cost Basis'!A$4:A$15,'Cost Basis'!C$4:C$15)*ROUNDUP(Model!K127/5280/30,0))*(1+LOOKUP(I127,'Cost Basis'!A$4:A$15,'Cost Basis'!F$4:F$15))))</f>
        <v>5760112.0000000009</v>
      </c>
      <c r="M127" s="264">
        <f t="shared" ca="1" si="9"/>
        <v>6288112.0000000009</v>
      </c>
      <c r="N127" s="64" t="s">
        <v>544</v>
      </c>
      <c r="O127" s="253" t="s">
        <v>996</v>
      </c>
      <c r="P127" s="69"/>
      <c r="Q127" s="2">
        <f t="shared" si="6"/>
        <v>1</v>
      </c>
      <c r="R127" s="221">
        <f t="shared" si="5"/>
        <v>19.810606060606062</v>
      </c>
    </row>
    <row r="128" spans="1:18" x14ac:dyDescent="0.3">
      <c r="A128" s="80">
        <v>1.0619999999999932</v>
      </c>
      <c r="B128" s="59" t="s">
        <v>5</v>
      </c>
      <c r="C128" s="59" t="s">
        <v>64</v>
      </c>
      <c r="D128" s="118">
        <v>486</v>
      </c>
      <c r="E128" s="118">
        <v>185</v>
      </c>
      <c r="F128" s="59"/>
      <c r="G128" s="59" t="s">
        <v>415</v>
      </c>
      <c r="H128" s="60">
        <f>IF(B128="Projects","N/A",IF(B128="Served","N/A",('Cost Basis'!E$3+('Cost Basis'!C$3*Model!D128))*(1+'Cost Basis'!F$3)))</f>
        <v>4174500.0000000005</v>
      </c>
      <c r="I128" s="123" t="s">
        <v>412</v>
      </c>
      <c r="J128" s="59" t="s">
        <v>439</v>
      </c>
      <c r="K128" s="61">
        <v>62634</v>
      </c>
      <c r="L128" s="62">
        <f ca="1">IF(K128=0,"N/A",(LOOKUP(I128,'Cost Basis'!A$4:A$15,'Cost Basis'!E$4:E$15)+IF(LOOKUP(Model!I128,'Cost Basis'!A$4:A$11)=I128,LOOKUP(Model!I128,'Cost Basis'!A$4:A$11,'Cost Basis'!C$4:C$11)*Model!K128*(1+LOOKUP(I128,'Cost Basis'!A$4:A$15,'Cost Basis'!F$3:F$15)),LOOKUP(Model!I128,'Cost Basis'!A$4:A$15,'Cost Basis'!C$4:C$15)*ROUNDUP(Model!K128/5280/30,0))*(1+LOOKUP(I128,'Cost Basis'!A$4:A$15,'Cost Basis'!F$4:F$15))))</f>
        <v>4135188.4800000004</v>
      </c>
      <c r="M128" s="264">
        <f t="shared" ca="1" si="9"/>
        <v>8309688.4800000004</v>
      </c>
      <c r="N128" s="64" t="s">
        <v>564</v>
      </c>
      <c r="O128" s="253" t="s">
        <v>996</v>
      </c>
      <c r="P128" s="69"/>
      <c r="Q128" s="2">
        <f t="shared" si="6"/>
        <v>1</v>
      </c>
      <c r="R128" s="221">
        <f t="shared" si="5"/>
        <v>11.862500000000001</v>
      </c>
    </row>
    <row r="129" spans="1:18" x14ac:dyDescent="0.3">
      <c r="A129" s="80">
        <v>1.0489999999999946</v>
      </c>
      <c r="B129" s="59" t="s">
        <v>5</v>
      </c>
      <c r="C129" s="59" t="s">
        <v>51</v>
      </c>
      <c r="D129" s="118">
        <v>51</v>
      </c>
      <c r="E129" s="118">
        <v>12</v>
      </c>
      <c r="F129" s="59"/>
      <c r="G129" s="59" t="s">
        <v>415</v>
      </c>
      <c r="H129" s="60">
        <f>IF(B129="Projects","N/A",IF(B129="Served","N/A",('Cost Basis'!E$3+('Cost Basis'!C$3*Model!D129))*(1+'Cost Basis'!F$3)))</f>
        <v>585750</v>
      </c>
      <c r="I129" s="123" t="s">
        <v>412</v>
      </c>
      <c r="J129" s="59" t="s">
        <v>67</v>
      </c>
      <c r="K129" s="61">
        <v>238900</v>
      </c>
      <c r="L129" s="62">
        <f ca="1">IF(K129=0,"N/A",(LOOKUP(I129,'Cost Basis'!A$4:A$15,'Cost Basis'!E$4:E$15)+IF(LOOKUP(Model!I129,'Cost Basis'!A$4:A$11)=I129,LOOKUP(Model!I129,'Cost Basis'!A$4:A$11,'Cost Basis'!C$4:C$11)*Model!K129*(1+LOOKUP(I129,'Cost Basis'!A$4:A$15,'Cost Basis'!F$3:F$15)),LOOKUP(Model!I129,'Cost Basis'!A$4:A$15,'Cost Basis'!C$4:C$15)*ROUNDUP(Model!K129/5280/30,0))*(1+LOOKUP(I129,'Cost Basis'!A$4:A$15,'Cost Basis'!F$4:F$15))))</f>
        <v>10960208</v>
      </c>
      <c r="M129" s="264">
        <f t="shared" ca="1" si="9"/>
        <v>11545958</v>
      </c>
      <c r="N129" s="64" t="s">
        <v>572</v>
      </c>
      <c r="O129" s="253" t="s">
        <v>996</v>
      </c>
      <c r="P129" s="69"/>
      <c r="Q129" s="2">
        <f t="shared" si="6"/>
        <v>1</v>
      </c>
      <c r="R129" s="221">
        <f t="shared" si="5"/>
        <v>45.246212121212125</v>
      </c>
    </row>
    <row r="130" spans="1:18" x14ac:dyDescent="0.3">
      <c r="A130" s="80">
        <v>1.1289999999999858</v>
      </c>
      <c r="B130" s="59" t="s">
        <v>5</v>
      </c>
      <c r="C130" s="59" t="s">
        <v>130</v>
      </c>
      <c r="D130" s="118">
        <v>61</v>
      </c>
      <c r="E130" s="118">
        <v>33</v>
      </c>
      <c r="F130" s="59"/>
      <c r="G130" s="59" t="s">
        <v>415</v>
      </c>
      <c r="H130" s="60">
        <f>IF(B130="Projects","N/A",IF(B130="Served","N/A",('Cost Basis'!E$3+('Cost Basis'!C$3*Model!D130))*(1+'Cost Basis'!F$3)))</f>
        <v>668250</v>
      </c>
      <c r="I130" s="123" t="s">
        <v>412</v>
      </c>
      <c r="J130" s="59" t="s">
        <v>454</v>
      </c>
      <c r="K130" s="61">
        <v>129500</v>
      </c>
      <c r="L130" s="62">
        <f ca="1">IF(K130=0,"N/A",(LOOKUP(I130,'Cost Basis'!A$4:A$15,'Cost Basis'!E$4:E$15)+IF(LOOKUP(Model!I130,'Cost Basis'!A$4:A$11)=I130,LOOKUP(Model!I130,'Cost Basis'!A$4:A$11,'Cost Basis'!C$4:C$11)*Model!K130*(1+LOOKUP(I130,'Cost Basis'!A$4:A$15,'Cost Basis'!F$3:F$15)),LOOKUP(Model!I130,'Cost Basis'!A$4:A$15,'Cost Basis'!C$4:C$15)*ROUNDUP(Model!K130/5280/30,0))*(1+LOOKUP(I130,'Cost Basis'!A$4:A$15,'Cost Basis'!F$4:F$15))))</f>
        <v>6724240</v>
      </c>
      <c r="M130" s="264">
        <f t="shared" ca="1" si="9"/>
        <v>7392490</v>
      </c>
      <c r="N130" s="64" t="s">
        <v>581</v>
      </c>
      <c r="O130" s="253" t="s">
        <v>996</v>
      </c>
      <c r="P130" s="69"/>
      <c r="Q130" s="2">
        <f t="shared" si="6"/>
        <v>1</v>
      </c>
      <c r="R130" s="221">
        <f t="shared" si="5"/>
        <v>24.526515151515152</v>
      </c>
    </row>
    <row r="131" spans="1:18" x14ac:dyDescent="0.3">
      <c r="A131" s="80">
        <v>1.18199999999998</v>
      </c>
      <c r="B131" s="59" t="s">
        <v>5</v>
      </c>
      <c r="C131" s="59" t="s">
        <v>182</v>
      </c>
      <c r="D131" s="118">
        <v>204</v>
      </c>
      <c r="E131" s="118">
        <v>62</v>
      </c>
      <c r="F131" s="59"/>
      <c r="G131" s="59" t="s">
        <v>415</v>
      </c>
      <c r="H131" s="60">
        <f>IF(B131="Projects","N/A",IF(B131="Served","N/A",('Cost Basis'!E$3+('Cost Basis'!C$3*Model!D131))*(1+'Cost Basis'!F$3)))</f>
        <v>1848000.0000000002</v>
      </c>
      <c r="I131" s="123" t="s">
        <v>414</v>
      </c>
      <c r="J131" s="59" t="s">
        <v>67</v>
      </c>
      <c r="K131" s="61">
        <v>190600</v>
      </c>
      <c r="L131" s="62">
        <f ca="1">IF(K131=0,"N/A",(LOOKUP(I131,'Cost Basis'!A$4:A$15,'Cost Basis'!E$4:E$15)+IF(LOOKUP(Model!I131,'Cost Basis'!A$4:A$11)=I131,LOOKUP(Model!I131,'Cost Basis'!A$4:A$11,'Cost Basis'!C$4:C$11)*Model!K131*(1+LOOKUP(I131,'Cost Basis'!A$4:A$15,'Cost Basis'!F$3:F$15)),LOOKUP(Model!I131,'Cost Basis'!A$4:A$15,'Cost Basis'!C$4:C$15)*ROUNDUP(Model!K131/5280/30,0))*(1+LOOKUP(I131,'Cost Basis'!A$4:A$15,'Cost Basis'!F$4:F$15))))</f>
        <v>6945024</v>
      </c>
      <c r="M131" s="264">
        <f t="shared" ca="1" si="9"/>
        <v>8793024</v>
      </c>
      <c r="N131" s="64" t="s">
        <v>649</v>
      </c>
      <c r="O131" s="253" t="s">
        <v>996</v>
      </c>
      <c r="P131" s="69"/>
      <c r="Q131" s="2">
        <f t="shared" si="6"/>
        <v>1</v>
      </c>
      <c r="R131" s="221">
        <f t="shared" ref="R131:R186" si="10">K131/5280</f>
        <v>36.098484848484851</v>
      </c>
    </row>
    <row r="132" spans="1:18" x14ac:dyDescent="0.3">
      <c r="A132" s="80">
        <v>1.0709999999999922</v>
      </c>
      <c r="B132" s="59" t="s">
        <v>5</v>
      </c>
      <c r="C132" s="59" t="s">
        <v>73</v>
      </c>
      <c r="D132" s="118">
        <v>257</v>
      </c>
      <c r="E132" s="118">
        <v>165</v>
      </c>
      <c r="F132" s="59"/>
      <c r="G132" s="59" t="s">
        <v>415</v>
      </c>
      <c r="H132" s="60">
        <f>IF(B132="Projects","N/A",IF(B132="Served","N/A",('Cost Basis'!E$3+('Cost Basis'!C$3*Model!D132))*(1+'Cost Basis'!F$3)))</f>
        <v>2285250</v>
      </c>
      <c r="I132" s="123" t="s">
        <v>412</v>
      </c>
      <c r="J132" s="59" t="s">
        <v>284</v>
      </c>
      <c r="K132" s="61">
        <v>330233</v>
      </c>
      <c r="L132" s="62">
        <f ca="1">IF(K132=0,"N/A",(LOOKUP(I132,'Cost Basis'!A$4:A$15,'Cost Basis'!E$4:E$15)+IF(LOOKUP(Model!I132,'Cost Basis'!A$4:A$11)=I132,LOOKUP(Model!I132,'Cost Basis'!A$4:A$11,'Cost Basis'!C$4:C$11)*Model!K132*(1+LOOKUP(I132,'Cost Basis'!A$4:A$15,'Cost Basis'!F$3:F$15)),LOOKUP(Model!I132,'Cost Basis'!A$4:A$15,'Cost Basis'!C$4:C$15)*ROUNDUP(Model!K132/5280/30,0))*(1+LOOKUP(I132,'Cost Basis'!A$4:A$15,'Cost Basis'!F$4:F$15))))</f>
        <v>14496621.760000004</v>
      </c>
      <c r="M132" s="264">
        <f t="shared" ca="1" si="9"/>
        <v>16781871.760000005</v>
      </c>
      <c r="N132" s="64" t="s">
        <v>525</v>
      </c>
      <c r="O132" s="253" t="s">
        <v>996</v>
      </c>
      <c r="P132" s="69"/>
      <c r="Q132" s="2">
        <f t="shared" ref="Q132:Q186" si="11">Q131</f>
        <v>1</v>
      </c>
      <c r="R132" s="221">
        <f t="shared" si="10"/>
        <v>62.54412878787879</v>
      </c>
    </row>
    <row r="133" spans="1:18" x14ac:dyDescent="0.3">
      <c r="A133" s="80">
        <v>2.0069999999999992</v>
      </c>
      <c r="B133" s="59" t="s">
        <v>202</v>
      </c>
      <c r="C133" s="59" t="s">
        <v>209</v>
      </c>
      <c r="D133" s="118">
        <v>74</v>
      </c>
      <c r="E133" s="118">
        <v>58</v>
      </c>
      <c r="F133" s="59"/>
      <c r="G133" s="59" t="s">
        <v>415</v>
      </c>
      <c r="H133" s="60">
        <f>IF(B133="Projects","N/A",IF(B133="Served","N/A",('Cost Basis'!E$3+('Cost Basis'!C$3*Model!D133))*(1+'Cost Basis'!F$3)))</f>
        <v>775500.00000000012</v>
      </c>
      <c r="I133" s="124" t="s">
        <v>442</v>
      </c>
      <c r="J133" s="88" t="s">
        <v>403</v>
      </c>
      <c r="K133" s="61">
        <v>0</v>
      </c>
      <c r="L133" s="62" t="str">
        <f>IF(K133=0,"N/A",(LOOKUP(I133,'Cost Basis'!A$4:A$15,'Cost Basis'!E$4:E$15)+IF(LOOKUP(Model!I133,'Cost Basis'!A$4:A$11)=I133,LOOKUP(Model!I133,'Cost Basis'!A$4:A$11,'Cost Basis'!C$4:C$11)*Model!K133*(1+LOOKUP(I133,'Cost Basis'!A$4:A$15,'Cost Basis'!F$3:F$15)),LOOKUP(Model!I133,'Cost Basis'!A$4:A$15,'Cost Basis'!C$4:C$15)*ROUNDUP(Model!K133/5280/30,0))*(1+LOOKUP(I133,'Cost Basis'!A$4:A$15,'Cost Basis'!F$4:F$15))))</f>
        <v>N/A</v>
      </c>
      <c r="M133" s="264">
        <f t="shared" ref="M133:M193" si="12">IF(L133="N/A",H133,H133+L133)</f>
        <v>775500.00000000012</v>
      </c>
      <c r="N133" s="64" t="s">
        <v>531</v>
      </c>
      <c r="O133" s="253" t="s">
        <v>996</v>
      </c>
      <c r="P133" s="69"/>
      <c r="Q133" s="2">
        <f t="shared" si="11"/>
        <v>1</v>
      </c>
      <c r="R133" s="221">
        <f t="shared" si="10"/>
        <v>0</v>
      </c>
    </row>
    <row r="134" spans="1:18" x14ac:dyDescent="0.3">
      <c r="A134" s="80">
        <v>1.1959999999999784</v>
      </c>
      <c r="B134" s="59" t="s">
        <v>5</v>
      </c>
      <c r="C134" s="59" t="s">
        <v>196</v>
      </c>
      <c r="D134" s="118">
        <v>100</v>
      </c>
      <c r="E134" s="118">
        <v>46</v>
      </c>
      <c r="F134" s="59"/>
      <c r="G134" s="59" t="s">
        <v>415</v>
      </c>
      <c r="H134" s="60">
        <f>IF(B134="Projects","N/A",IF(B134="Served","N/A",('Cost Basis'!E$3+('Cost Basis'!C$3*Model!D134))*(1+'Cost Basis'!F$3)))</f>
        <v>990000.00000000012</v>
      </c>
      <c r="I134" s="123" t="s">
        <v>414</v>
      </c>
      <c r="J134" s="59" t="s">
        <v>228</v>
      </c>
      <c r="K134" s="61">
        <v>165000</v>
      </c>
      <c r="L134" s="62">
        <f ca="1">IF(K134=0,"N/A",(LOOKUP(I134,'Cost Basis'!A$4:A$15,'Cost Basis'!E$4:E$15)+IF(LOOKUP(Model!I134,'Cost Basis'!A$4:A$11)=I134,LOOKUP(Model!I134,'Cost Basis'!A$4:A$11,'Cost Basis'!C$4:C$11)*Model!K134*(1+LOOKUP(I134,'Cost Basis'!A$4:A$15,'Cost Basis'!F$3:F$15)),LOOKUP(Model!I134,'Cost Basis'!A$4:A$15,'Cost Basis'!C$4:C$15)*ROUNDUP(Model!K134/5280/30,0))*(1+LOOKUP(I134,'Cost Basis'!A$4:A$15,'Cost Basis'!F$4:F$15))))</f>
        <v>6201600</v>
      </c>
      <c r="M134" s="264">
        <f t="shared" ref="M134:M163" ca="1" si="13">IF(L134="N/A",H134,H134+L134)</f>
        <v>7191600</v>
      </c>
      <c r="N134" s="64" t="s">
        <v>556</v>
      </c>
      <c r="O134" s="253" t="s">
        <v>996</v>
      </c>
      <c r="P134" s="71"/>
      <c r="Q134" s="2">
        <f t="shared" si="11"/>
        <v>1</v>
      </c>
      <c r="R134" s="221">
        <f t="shared" si="10"/>
        <v>31.25</v>
      </c>
    </row>
    <row r="135" spans="1:18" x14ac:dyDescent="0.3">
      <c r="A135" s="80">
        <v>1.0459999999999949</v>
      </c>
      <c r="B135" s="59" t="s">
        <v>5</v>
      </c>
      <c r="C135" s="59" t="s">
        <v>48</v>
      </c>
      <c r="D135" s="118">
        <v>31</v>
      </c>
      <c r="E135" s="118">
        <v>16</v>
      </c>
      <c r="F135" s="59"/>
      <c r="G135" s="59" t="s">
        <v>415</v>
      </c>
      <c r="H135" s="60">
        <f>IF(B135="Projects","N/A",IF(B135="Served","N/A",('Cost Basis'!E$3+('Cost Basis'!C$3*Model!D135))*(1+'Cost Basis'!F$3)))</f>
        <v>420750.00000000006</v>
      </c>
      <c r="I135" s="123" t="s">
        <v>412</v>
      </c>
      <c r="J135" s="59" t="s">
        <v>209</v>
      </c>
      <c r="K135" s="61">
        <v>155300</v>
      </c>
      <c r="L135" s="62">
        <f ca="1">IF(K135=0,"N/A",(LOOKUP(I135,'Cost Basis'!A$4:A$15,'Cost Basis'!E$4:E$15)+IF(LOOKUP(Model!I135,'Cost Basis'!A$4:A$11)=I135,LOOKUP(Model!I135,'Cost Basis'!A$4:A$11,'Cost Basis'!C$4:C$11)*Model!K135*(1+LOOKUP(I135,'Cost Basis'!A$4:A$15,'Cost Basis'!F$3:F$15)),LOOKUP(Model!I135,'Cost Basis'!A$4:A$15,'Cost Basis'!C$4:C$15)*ROUNDUP(Model!K135/5280/30,0))*(1+LOOKUP(I135,'Cost Basis'!A$4:A$15,'Cost Basis'!F$4:F$15))))</f>
        <v>7723216.0000000009</v>
      </c>
      <c r="M135" s="264">
        <f t="shared" ca="1" si="13"/>
        <v>8143966.0000000009</v>
      </c>
      <c r="N135" s="64" t="s">
        <v>562</v>
      </c>
      <c r="O135" s="253" t="s">
        <v>996</v>
      </c>
      <c r="P135" s="69"/>
      <c r="Q135" s="2">
        <f t="shared" si="11"/>
        <v>1</v>
      </c>
      <c r="R135" s="221">
        <f t="shared" si="10"/>
        <v>29.412878787878789</v>
      </c>
    </row>
    <row r="136" spans="1:18" x14ac:dyDescent="0.3">
      <c r="A136" s="80">
        <v>1.1409999999999845</v>
      </c>
      <c r="B136" s="59" t="s">
        <v>5</v>
      </c>
      <c r="C136" s="59" t="s">
        <v>142</v>
      </c>
      <c r="D136" s="118">
        <v>56</v>
      </c>
      <c r="E136" s="118">
        <v>31</v>
      </c>
      <c r="F136" s="59"/>
      <c r="G136" s="59" t="s">
        <v>415</v>
      </c>
      <c r="H136" s="60">
        <f>IF(B136="Projects","N/A",IF(B136="Served","N/A",('Cost Basis'!E$3+('Cost Basis'!C$3*Model!D136))*(1+'Cost Basis'!F$3)))</f>
        <v>627000</v>
      </c>
      <c r="I136" s="123" t="s">
        <v>412</v>
      </c>
      <c r="J136" s="59" t="s">
        <v>456</v>
      </c>
      <c r="K136" s="61">
        <v>161100</v>
      </c>
      <c r="L136" s="62">
        <f ca="1">IF(K136=0,"N/A",(LOOKUP(I136,'Cost Basis'!A$4:A$15,'Cost Basis'!E$4:E$15)+IF(LOOKUP(Model!I136,'Cost Basis'!A$4:A$11)=I136,LOOKUP(Model!I136,'Cost Basis'!A$4:A$11,'Cost Basis'!C$4:C$11)*Model!K136*(1+LOOKUP(I136,'Cost Basis'!A$4:A$15,'Cost Basis'!F$3:F$15)),LOOKUP(Model!I136,'Cost Basis'!A$4:A$15,'Cost Basis'!C$4:C$15)*ROUNDUP(Model!K136/5280/30,0))*(1+LOOKUP(I136,'Cost Basis'!A$4:A$15,'Cost Basis'!F$4:F$15))))</f>
        <v>7947792.0000000009</v>
      </c>
      <c r="M136" s="264">
        <f t="shared" ca="1" si="13"/>
        <v>8574792</v>
      </c>
      <c r="N136" s="64" t="s">
        <v>575</v>
      </c>
      <c r="O136" s="253" t="s">
        <v>996</v>
      </c>
      <c r="P136" s="69"/>
      <c r="Q136" s="2">
        <f t="shared" si="11"/>
        <v>1</v>
      </c>
      <c r="R136" s="221">
        <f t="shared" si="10"/>
        <v>30.511363636363637</v>
      </c>
    </row>
    <row r="137" spans="1:18" x14ac:dyDescent="0.3">
      <c r="A137" s="80">
        <v>1.1339999999999852</v>
      </c>
      <c r="B137" s="59" t="s">
        <v>5</v>
      </c>
      <c r="C137" s="59" t="s">
        <v>135</v>
      </c>
      <c r="D137" s="118">
        <v>23</v>
      </c>
      <c r="E137" s="118">
        <v>12</v>
      </c>
      <c r="F137" s="59"/>
      <c r="G137" s="59" t="s">
        <v>415</v>
      </c>
      <c r="H137" s="60">
        <f>IF(B137="Projects","N/A",IF(B137="Served","N/A",('Cost Basis'!E$3+('Cost Basis'!C$3*Model!D137))*(1+'Cost Basis'!F$3)))</f>
        <v>354750</v>
      </c>
      <c r="I137" s="123" t="s">
        <v>412</v>
      </c>
      <c r="J137" s="59" t="s">
        <v>142</v>
      </c>
      <c r="K137" s="61">
        <v>14400</v>
      </c>
      <c r="L137" s="62">
        <f ca="1">IF(K137=0,"N/A",(LOOKUP(I137,'Cost Basis'!A$4:A$15,'Cost Basis'!E$4:E$15)+IF(LOOKUP(Model!I137,'Cost Basis'!A$4:A$11)=I137,LOOKUP(Model!I137,'Cost Basis'!A$4:A$11,'Cost Basis'!C$4:C$11)*Model!K137*(1+LOOKUP(I137,'Cost Basis'!A$4:A$15,'Cost Basis'!F$3:F$15)),LOOKUP(Model!I137,'Cost Basis'!A$4:A$15,'Cost Basis'!C$4:C$15)*ROUNDUP(Model!K137/5280/30,0))*(1+LOOKUP(I137,'Cost Basis'!A$4:A$15,'Cost Basis'!F$4:F$15))))</f>
        <v>2267568</v>
      </c>
      <c r="M137" s="264">
        <f t="shared" ca="1" si="13"/>
        <v>2622318</v>
      </c>
      <c r="N137" s="64" t="s">
        <v>582</v>
      </c>
      <c r="O137" s="253" t="s">
        <v>996</v>
      </c>
      <c r="P137" s="69"/>
      <c r="Q137" s="2">
        <f t="shared" si="11"/>
        <v>1</v>
      </c>
      <c r="R137" s="221">
        <f t="shared" si="10"/>
        <v>2.7272727272727271</v>
      </c>
    </row>
    <row r="138" spans="1:18" x14ac:dyDescent="0.3">
      <c r="A138" s="80">
        <v>1.135999999999985</v>
      </c>
      <c r="B138" s="59" t="s">
        <v>5</v>
      </c>
      <c r="C138" s="59" t="s">
        <v>137</v>
      </c>
      <c r="D138" s="118">
        <v>86</v>
      </c>
      <c r="E138" s="118">
        <v>31</v>
      </c>
      <c r="F138" s="59"/>
      <c r="G138" s="59" t="s">
        <v>415</v>
      </c>
      <c r="H138" s="60">
        <f>IF(B138="Projects","N/A",IF(B138="Served","N/A",('Cost Basis'!E$3+('Cost Basis'!C$3*Model!D138))*(1+'Cost Basis'!F$3)))</f>
        <v>874500.00000000012</v>
      </c>
      <c r="I138" s="123" t="s">
        <v>412</v>
      </c>
      <c r="J138" s="59" t="s">
        <v>456</v>
      </c>
      <c r="K138" s="61">
        <v>305400</v>
      </c>
      <c r="L138" s="62">
        <f ca="1">IF(K138=0,"N/A",(LOOKUP(I138,'Cost Basis'!A$4:A$15,'Cost Basis'!E$4:E$15)+IF(LOOKUP(Model!I138,'Cost Basis'!A$4:A$11)=I138,LOOKUP(Model!I138,'Cost Basis'!A$4:A$11,'Cost Basis'!C$4:C$11)*Model!K138*(1+LOOKUP(I138,'Cost Basis'!A$4:A$15,'Cost Basis'!F$3:F$15)),LOOKUP(Model!I138,'Cost Basis'!A$4:A$15,'Cost Basis'!C$4:C$15)*ROUNDUP(Model!K138/5280/30,0))*(1+LOOKUP(I138,'Cost Basis'!A$4:A$15,'Cost Basis'!F$4:F$15))))</f>
        <v>13535088.000000002</v>
      </c>
      <c r="M138" s="264">
        <f t="shared" ca="1" si="13"/>
        <v>14409588.000000002</v>
      </c>
      <c r="N138" s="64" t="s">
        <v>620</v>
      </c>
      <c r="O138" s="253" t="s">
        <v>996</v>
      </c>
      <c r="P138" s="69"/>
      <c r="Q138" s="2">
        <f t="shared" si="11"/>
        <v>1</v>
      </c>
      <c r="R138" s="221">
        <f t="shared" si="10"/>
        <v>57.840909090909093</v>
      </c>
    </row>
    <row r="139" spans="1:18" x14ac:dyDescent="0.3">
      <c r="A139" s="80">
        <v>1.0949999999999895</v>
      </c>
      <c r="B139" s="59" t="s">
        <v>5</v>
      </c>
      <c r="C139" s="59" t="s">
        <v>97</v>
      </c>
      <c r="D139" s="118">
        <v>23</v>
      </c>
      <c r="E139" s="118">
        <v>6</v>
      </c>
      <c r="F139" s="59"/>
      <c r="G139" s="59" t="s">
        <v>415</v>
      </c>
      <c r="H139" s="60">
        <f>IF(B139="Projects","N/A",IF(B139="Served","N/A",('Cost Basis'!E$3+('Cost Basis'!C$3*Model!D139))*(1+'Cost Basis'!F$3)))</f>
        <v>354750</v>
      </c>
      <c r="I139" s="123" t="s">
        <v>412</v>
      </c>
      <c r="J139" s="59" t="s">
        <v>34</v>
      </c>
      <c r="K139" s="61">
        <v>158400</v>
      </c>
      <c r="L139" s="62">
        <f ca="1">IF(K139=0,"N/A",(LOOKUP(I139,'Cost Basis'!A$4:A$15,'Cost Basis'!E$4:E$15)+IF(LOOKUP(Model!I139,'Cost Basis'!A$4:A$11)=I139,LOOKUP(Model!I139,'Cost Basis'!A$4:A$11,'Cost Basis'!C$4:C$11)*Model!K139*(1+LOOKUP(I139,'Cost Basis'!A$4:A$15,'Cost Basis'!F$3:F$15)),LOOKUP(Model!I139,'Cost Basis'!A$4:A$15,'Cost Basis'!C$4:C$15)*ROUNDUP(Model!K139/5280/30,0))*(1+LOOKUP(I139,'Cost Basis'!A$4:A$15,'Cost Basis'!F$4:F$15))))</f>
        <v>7843248.0000000009</v>
      </c>
      <c r="M139" s="264">
        <f t="shared" ca="1" si="13"/>
        <v>8197998.0000000009</v>
      </c>
      <c r="N139" s="64" t="s">
        <v>529</v>
      </c>
      <c r="O139" s="253" t="s">
        <v>996</v>
      </c>
      <c r="P139" s="69"/>
      <c r="Q139" s="2">
        <f t="shared" si="11"/>
        <v>1</v>
      </c>
      <c r="R139" s="221">
        <f t="shared" si="10"/>
        <v>30</v>
      </c>
    </row>
    <row r="140" spans="1:18" x14ac:dyDescent="0.3">
      <c r="A140" s="80">
        <v>1.0069999999999992</v>
      </c>
      <c r="B140" s="59" t="s">
        <v>5</v>
      </c>
      <c r="C140" s="59" t="s">
        <v>12</v>
      </c>
      <c r="D140" s="118">
        <v>10</v>
      </c>
      <c r="E140" s="118">
        <v>4</v>
      </c>
      <c r="F140" s="59"/>
      <c r="G140" s="59" t="s">
        <v>415</v>
      </c>
      <c r="H140" s="60">
        <f>IF(B140="Projects","N/A",IF(B140="Served","N/A",('Cost Basis'!E$3+('Cost Basis'!C$3*Model!D140))*(1+'Cost Basis'!F$3)))</f>
        <v>247500.00000000003</v>
      </c>
      <c r="I140" s="123" t="s">
        <v>411</v>
      </c>
      <c r="J140" s="59" t="s">
        <v>207</v>
      </c>
      <c r="K140" s="61">
        <v>35800</v>
      </c>
      <c r="L140" s="62">
        <f ca="1">IF(K140=0,"N/A",(LOOKUP(I140,'Cost Basis'!A$4:A$15,'Cost Basis'!E$4:E$15)+IF(LOOKUP(Model!I140,'Cost Basis'!A$4:A$11)=I140,LOOKUP(Model!I140,'Cost Basis'!A$4:A$11,'Cost Basis'!C$4:C$11)*Model!K140*(1+LOOKUP(I140,'Cost Basis'!A$4:A$15,'Cost Basis'!F$3:F$15)),LOOKUP(Model!I140,'Cost Basis'!A$4:A$15,'Cost Basis'!C$4:C$15)*ROUNDUP(Model!K140/5280/30,0))*(1+LOOKUP(I140,'Cost Basis'!A$4:A$15,'Cost Basis'!F$4:F$15))))</f>
        <v>3016130</v>
      </c>
      <c r="M140" s="264">
        <f t="shared" ca="1" si="13"/>
        <v>3263630</v>
      </c>
      <c r="N140" s="64" t="s">
        <v>518</v>
      </c>
      <c r="O140" s="253" t="s">
        <v>996</v>
      </c>
      <c r="P140" s="69"/>
      <c r="Q140" s="2">
        <f t="shared" si="11"/>
        <v>1</v>
      </c>
      <c r="R140" s="221">
        <f t="shared" si="10"/>
        <v>6.7803030303030303</v>
      </c>
    </row>
    <row r="141" spans="1:18" x14ac:dyDescent="0.3">
      <c r="A141" s="80">
        <v>1.1739999999999808</v>
      </c>
      <c r="B141" s="59" t="s">
        <v>5</v>
      </c>
      <c r="C141" s="59" t="s">
        <v>174</v>
      </c>
      <c r="D141" s="118">
        <v>4</v>
      </c>
      <c r="E141" s="118">
        <v>4</v>
      </c>
      <c r="F141" s="59"/>
      <c r="G141" s="59" t="s">
        <v>415</v>
      </c>
      <c r="H141" s="60">
        <f>IF(B141="Projects","N/A",IF(B141="Served","N/A",('Cost Basis'!E$3+('Cost Basis'!C$3*Model!D141))*(1+'Cost Basis'!F$3)))</f>
        <v>198000.00000000003</v>
      </c>
      <c r="I141" s="123" t="s">
        <v>412</v>
      </c>
      <c r="J141" s="59" t="s">
        <v>265</v>
      </c>
      <c r="K141" s="61">
        <v>96100</v>
      </c>
      <c r="L141" s="62">
        <f ca="1">IF(K141=0,"N/A",(LOOKUP(I141,'Cost Basis'!A$4:A$15,'Cost Basis'!E$4:E$15)+IF(LOOKUP(Model!I141,'Cost Basis'!A$4:A$11)=I141,LOOKUP(Model!I141,'Cost Basis'!A$4:A$11,'Cost Basis'!C$4:C$11)*Model!K141*(1+LOOKUP(I141,'Cost Basis'!A$4:A$15,'Cost Basis'!F$3:F$15)),LOOKUP(Model!I141,'Cost Basis'!A$4:A$15,'Cost Basis'!C$4:C$15)*ROUNDUP(Model!K141/5280/30,0))*(1+LOOKUP(I141,'Cost Basis'!A$4:A$15,'Cost Basis'!F$4:F$15))))</f>
        <v>5430992.0000000009</v>
      </c>
      <c r="M141" s="264">
        <f t="shared" ca="1" si="13"/>
        <v>5628992.0000000009</v>
      </c>
      <c r="N141" s="64" t="s">
        <v>515</v>
      </c>
      <c r="O141" s="253" t="s">
        <v>342</v>
      </c>
      <c r="P141" s="69"/>
      <c r="Q141" s="2">
        <f t="shared" si="11"/>
        <v>1</v>
      </c>
      <c r="R141" s="221">
        <f t="shared" si="10"/>
        <v>18.200757575757574</v>
      </c>
    </row>
    <row r="142" spans="1:18" x14ac:dyDescent="0.3">
      <c r="A142" s="80">
        <v>1.0239999999999974</v>
      </c>
      <c r="B142" s="59" t="s">
        <v>5</v>
      </c>
      <c r="C142" s="59" t="s">
        <v>27</v>
      </c>
      <c r="D142" s="118">
        <v>231</v>
      </c>
      <c r="E142" s="118">
        <v>98</v>
      </c>
      <c r="F142" s="59"/>
      <c r="G142" s="59" t="s">
        <v>415</v>
      </c>
      <c r="H142" s="60">
        <f>IF(B142="Projects","N/A",IF(B142="Served","N/A",('Cost Basis'!E$3+('Cost Basis'!C$3*Model!D142))*(1+'Cost Basis'!F$3)))</f>
        <v>2070750.0000000002</v>
      </c>
      <c r="I142" s="123" t="s">
        <v>414</v>
      </c>
      <c r="J142" s="59" t="s">
        <v>422</v>
      </c>
      <c r="K142" s="61">
        <v>17800</v>
      </c>
      <c r="L142" s="62">
        <f ca="1">IF(K142=0,"N/A",(LOOKUP(I142,'Cost Basis'!A$4:A$15,'Cost Basis'!E$4:E$15)+IF(LOOKUP(Model!I142,'Cost Basis'!A$4:A$11)=I142,LOOKUP(Model!I142,'Cost Basis'!A$4:A$11,'Cost Basis'!C$4:C$11)*Model!K142*(1+LOOKUP(I142,'Cost Basis'!A$4:A$15,'Cost Basis'!F$3:F$15)),LOOKUP(Model!I142,'Cost Basis'!A$4:A$15,'Cost Basis'!C$4:C$15)*ROUNDUP(Model!K142/5280/30,0))*(1+LOOKUP(I142,'Cost Basis'!A$4:A$15,'Cost Basis'!F$4:F$15))))</f>
        <v>1926912</v>
      </c>
      <c r="M142" s="264">
        <f t="shared" ca="1" si="13"/>
        <v>3997662</v>
      </c>
      <c r="N142" s="64" t="s">
        <v>602</v>
      </c>
      <c r="O142" s="253" t="s">
        <v>995</v>
      </c>
      <c r="P142" s="69"/>
      <c r="Q142" s="2">
        <f t="shared" si="11"/>
        <v>1</v>
      </c>
      <c r="R142" s="221">
        <f t="shared" si="10"/>
        <v>3.3712121212121211</v>
      </c>
    </row>
    <row r="143" spans="1:18" x14ac:dyDescent="0.3">
      <c r="A143" s="80">
        <v>1.0279999999999969</v>
      </c>
      <c r="B143" s="59" t="s">
        <v>5</v>
      </c>
      <c r="C143" s="59" t="s">
        <v>31</v>
      </c>
      <c r="D143" s="118">
        <v>54</v>
      </c>
      <c r="E143" s="118">
        <v>22</v>
      </c>
      <c r="F143" s="59"/>
      <c r="G143" s="59" t="s">
        <v>415</v>
      </c>
      <c r="H143" s="60">
        <f>IF(B143="Projects","N/A",IF(B143="Served","N/A",('Cost Basis'!E$3+('Cost Basis'!C$3*Model!D143))*(1+'Cost Basis'!F$3)))</f>
        <v>610500</v>
      </c>
      <c r="I143" s="123" t="s">
        <v>411</v>
      </c>
      <c r="J143" s="59" t="s">
        <v>425</v>
      </c>
      <c r="K143" s="61">
        <v>5280</v>
      </c>
      <c r="L143" s="62">
        <f ca="1">IF(K143=0,"N/A",(LOOKUP(I143,'Cost Basis'!A$4:A$15,'Cost Basis'!E$4:E$15)+IF(LOOKUP(Model!I143,'Cost Basis'!A$4:A$11)=I143,LOOKUP(Model!I143,'Cost Basis'!A$4:A$11,'Cost Basis'!C$4:C$11)*Model!K143*(1+LOOKUP(I143,'Cost Basis'!A$4:A$15,'Cost Basis'!F$3:F$15)),LOOKUP(Model!I143,'Cost Basis'!A$4:A$15,'Cost Basis'!C$4:C$15)*ROUNDUP(Model!K143/5280/30,0))*(1+LOOKUP(I143,'Cost Basis'!A$4:A$15,'Cost Basis'!F$4:F$15))))</f>
        <v>1723608</v>
      </c>
      <c r="M143" s="264">
        <f t="shared" ca="1" si="13"/>
        <v>2334108</v>
      </c>
      <c r="N143" s="64" t="s">
        <v>603</v>
      </c>
      <c r="O143" s="253" t="s">
        <v>997</v>
      </c>
      <c r="P143" s="69"/>
      <c r="Q143" s="2">
        <f t="shared" si="11"/>
        <v>1</v>
      </c>
      <c r="R143" s="221">
        <f t="shared" si="10"/>
        <v>1</v>
      </c>
    </row>
    <row r="144" spans="1:18" x14ac:dyDescent="0.3">
      <c r="A144" s="80">
        <v>1.0329999999999964</v>
      </c>
      <c r="B144" s="59" t="s">
        <v>5</v>
      </c>
      <c r="C144" s="59" t="s">
        <v>35</v>
      </c>
      <c r="D144" s="118">
        <v>993</v>
      </c>
      <c r="E144" s="118">
        <v>572</v>
      </c>
      <c r="F144" s="59"/>
      <c r="G144" s="59" t="s">
        <v>415</v>
      </c>
      <c r="H144" s="60">
        <f>IF(B144="Projects","N/A",IF(B144="Served","N/A",('Cost Basis'!E$3+('Cost Basis'!C$3*Model!D144))*(1+'Cost Basis'!F$3)))</f>
        <v>8357250.0000000009</v>
      </c>
      <c r="I144" s="123" t="s">
        <v>411</v>
      </c>
      <c r="J144" s="59" t="s">
        <v>427</v>
      </c>
      <c r="K144" s="61">
        <v>80609</v>
      </c>
      <c r="L144" s="62">
        <f ca="1">IF(K144=0,"N/A",(LOOKUP(I144,'Cost Basis'!A$4:A$15,'Cost Basis'!E$4:E$15)+IF(LOOKUP(Model!I144,'Cost Basis'!A$4:A$11)=I144,LOOKUP(Model!I144,'Cost Basis'!A$4:A$11,'Cost Basis'!C$4:C$11)*Model!K144*(1+LOOKUP(I144,'Cost Basis'!A$4:A$15,'Cost Basis'!F$3:F$15)),LOOKUP(Model!I144,'Cost Basis'!A$4:A$15,'Cost Basis'!C$4:C$15)*ROUNDUP(Model!K144/5280/30,0))*(1+LOOKUP(I144,'Cost Basis'!A$4:A$15,'Cost Basis'!F$4:F$15))))</f>
        <v>4913791.1500000004</v>
      </c>
      <c r="M144" s="264">
        <f t="shared" ca="1" si="13"/>
        <v>13271041.150000002</v>
      </c>
      <c r="N144" s="64" t="s">
        <v>604</v>
      </c>
      <c r="O144" s="253" t="s">
        <v>995</v>
      </c>
      <c r="P144" s="69"/>
      <c r="Q144" s="2">
        <f t="shared" si="11"/>
        <v>1</v>
      </c>
      <c r="R144" s="221">
        <f t="shared" si="10"/>
        <v>15.266856060606061</v>
      </c>
    </row>
    <row r="145" spans="1:18" x14ac:dyDescent="0.3">
      <c r="A145" s="80">
        <v>1.0339999999999963</v>
      </c>
      <c r="B145" s="59" t="s">
        <v>5</v>
      </c>
      <c r="C145" s="59" t="s">
        <v>36</v>
      </c>
      <c r="D145" s="118">
        <v>4</v>
      </c>
      <c r="E145" s="118">
        <v>0</v>
      </c>
      <c r="F145" s="59"/>
      <c r="G145" s="59" t="s">
        <v>415</v>
      </c>
      <c r="H145" s="60">
        <f>IF(B145="Projects","N/A",IF(B145="Served","N/A",('Cost Basis'!E$3+('Cost Basis'!C$3*Model!D145))*(1+'Cost Basis'!F$3)))</f>
        <v>198000.00000000003</v>
      </c>
      <c r="I145" s="123" t="s">
        <v>411</v>
      </c>
      <c r="J145" s="59" t="s">
        <v>428</v>
      </c>
      <c r="K145" s="61">
        <v>5280</v>
      </c>
      <c r="L145" s="62">
        <f ca="1">IF(K145=0,"N/A",(LOOKUP(I145,'Cost Basis'!A$4:A$15,'Cost Basis'!E$4:E$15)+IF(LOOKUP(Model!I145,'Cost Basis'!A$4:A$11)=I145,LOOKUP(Model!I145,'Cost Basis'!A$4:A$11,'Cost Basis'!C$4:C$11)*Model!K145*(1+LOOKUP(I145,'Cost Basis'!A$4:A$15,'Cost Basis'!F$3:F$15)),LOOKUP(Model!I145,'Cost Basis'!A$4:A$15,'Cost Basis'!C$4:C$15)*ROUNDUP(Model!K145/5280/30,0))*(1+LOOKUP(I145,'Cost Basis'!A$4:A$15,'Cost Basis'!F$4:F$15))))</f>
        <v>1723608</v>
      </c>
      <c r="M145" s="264">
        <f t="shared" ca="1" si="13"/>
        <v>1921608</v>
      </c>
      <c r="N145" s="64" t="s">
        <v>605</v>
      </c>
      <c r="O145" s="253" t="s">
        <v>993</v>
      </c>
      <c r="P145" s="69"/>
      <c r="Q145" s="2">
        <f t="shared" si="11"/>
        <v>1</v>
      </c>
      <c r="R145" s="221">
        <f t="shared" si="10"/>
        <v>1</v>
      </c>
    </row>
    <row r="146" spans="1:18" x14ac:dyDescent="0.3">
      <c r="A146" s="80">
        <v>1.1949999999999785</v>
      </c>
      <c r="B146" s="59" t="s">
        <v>5</v>
      </c>
      <c r="C146" s="59" t="s">
        <v>195</v>
      </c>
      <c r="D146" s="118">
        <v>44</v>
      </c>
      <c r="E146" s="118">
        <v>3</v>
      </c>
      <c r="F146" s="59"/>
      <c r="G146" s="59" t="s">
        <v>415</v>
      </c>
      <c r="H146" s="60">
        <f>IF(B146="Projects","N/A",IF(B146="Served","N/A",('Cost Basis'!E$3+('Cost Basis'!C$3*Model!D146))*(1+'Cost Basis'!F$3)))</f>
        <v>528000</v>
      </c>
      <c r="I146" s="123" t="s">
        <v>414</v>
      </c>
      <c r="J146" s="59" t="s">
        <v>36</v>
      </c>
      <c r="K146" s="61">
        <v>84900</v>
      </c>
      <c r="L146" s="62">
        <f ca="1">IF(K146=0,"N/A",(LOOKUP(I146,'Cost Basis'!A$4:A$15,'Cost Basis'!E$4:E$15)+IF(LOOKUP(Model!I146,'Cost Basis'!A$4:A$11)=I146,LOOKUP(Model!I146,'Cost Basis'!A$4:A$11,'Cost Basis'!C$4:C$11)*Model!K146*(1+LOOKUP(I146,'Cost Basis'!A$4:A$15,'Cost Basis'!F$3:F$15)),LOOKUP(Model!I146,'Cost Basis'!A$4:A$15,'Cost Basis'!C$4:C$15)*ROUNDUP(Model!K146/5280/30,0))*(1+LOOKUP(I146,'Cost Basis'!A$4:A$15,'Cost Basis'!F$4:F$15))))</f>
        <v>3875496</v>
      </c>
      <c r="M146" s="264">
        <f t="shared" ca="1" si="13"/>
        <v>4403496</v>
      </c>
      <c r="N146" s="64" t="s">
        <v>606</v>
      </c>
      <c r="O146" s="253" t="s">
        <v>993</v>
      </c>
      <c r="P146" s="69"/>
      <c r="Q146" s="2">
        <f t="shared" si="11"/>
        <v>1</v>
      </c>
      <c r="R146" s="221">
        <f t="shared" si="10"/>
        <v>16.079545454545453</v>
      </c>
    </row>
    <row r="147" spans="1:18" x14ac:dyDescent="0.3">
      <c r="A147" s="80">
        <v>1.1249999999999862</v>
      </c>
      <c r="B147" s="59" t="s">
        <v>5</v>
      </c>
      <c r="C147" s="59" t="s">
        <v>126</v>
      </c>
      <c r="D147" s="118">
        <v>945</v>
      </c>
      <c r="E147" s="118">
        <v>693</v>
      </c>
      <c r="F147" s="59"/>
      <c r="G147" s="59" t="s">
        <v>415</v>
      </c>
      <c r="H147" s="60">
        <f>IF(B147="Projects","N/A",IF(B147="Served","N/A",('Cost Basis'!E$3+('Cost Basis'!C$3*Model!D147))*(1+'Cost Basis'!F$3)))</f>
        <v>7961250.0000000009</v>
      </c>
      <c r="I147" s="123" t="s">
        <v>411</v>
      </c>
      <c r="J147" s="59" t="s">
        <v>306</v>
      </c>
      <c r="K147" s="61">
        <v>35000</v>
      </c>
      <c r="L147" s="62">
        <f ca="1">IF(K147=0,"N/A",(LOOKUP(I147,'Cost Basis'!A$4:A$15,'Cost Basis'!E$4:E$15)+IF(LOOKUP(Model!I147,'Cost Basis'!A$4:A$11)=I147,LOOKUP(Model!I147,'Cost Basis'!A$4:A$11,'Cost Basis'!C$4:C$11)*Model!K147*(1+LOOKUP(I147,'Cost Basis'!A$4:A$15,'Cost Basis'!F$3:F$15)),LOOKUP(Model!I147,'Cost Basis'!A$4:A$15,'Cost Basis'!C$4:C$15)*ROUNDUP(Model!K147/5280/30,0))*(1+LOOKUP(I147,'Cost Basis'!A$4:A$15,'Cost Basis'!F$4:F$15))))</f>
        <v>2982250</v>
      </c>
      <c r="M147" s="264">
        <f t="shared" ca="1" si="13"/>
        <v>10943500</v>
      </c>
      <c r="N147" s="64" t="s">
        <v>607</v>
      </c>
      <c r="O147" s="253" t="s">
        <v>993</v>
      </c>
      <c r="P147" s="69"/>
      <c r="Q147" s="2">
        <f t="shared" si="11"/>
        <v>1</v>
      </c>
      <c r="R147" s="221">
        <f t="shared" si="10"/>
        <v>6.6287878787878789</v>
      </c>
    </row>
    <row r="148" spans="1:18" x14ac:dyDescent="0.3">
      <c r="A148" s="80">
        <v>2.0019999999999998</v>
      </c>
      <c r="B148" s="59" t="s">
        <v>202</v>
      </c>
      <c r="C148" s="59" t="s">
        <v>204</v>
      </c>
      <c r="D148" s="118">
        <v>12</v>
      </c>
      <c r="E148" s="118">
        <v>0</v>
      </c>
      <c r="F148" s="59"/>
      <c r="G148" s="59" t="s">
        <v>415</v>
      </c>
      <c r="H148" s="60">
        <f>IF(B148="Projects","N/A",IF(B148="Served","N/A",('Cost Basis'!E$3+('Cost Basis'!C$3*Model!D148))*(1+'Cost Basis'!F$3)))</f>
        <v>264000</v>
      </c>
      <c r="I148" s="123" t="s">
        <v>411</v>
      </c>
      <c r="J148" s="59" t="s">
        <v>417</v>
      </c>
      <c r="K148" s="61">
        <v>5280</v>
      </c>
      <c r="L148" s="62">
        <f ca="1">IF(K148=0,"N/A",(LOOKUP(I148,'Cost Basis'!A$4:A$15,'Cost Basis'!E$4:E$15)+IF(LOOKUP(Model!I148,'Cost Basis'!A$4:A$11)=I148,LOOKUP(Model!I148,'Cost Basis'!A$4:A$11,'Cost Basis'!C$4:C$11)*Model!K148*(1+LOOKUP(I148,'Cost Basis'!A$4:A$15,'Cost Basis'!F$3:F$15)),LOOKUP(Model!I148,'Cost Basis'!A$4:A$15,'Cost Basis'!C$4:C$15)*ROUNDUP(Model!K148/5280/30,0))*(1+LOOKUP(I148,'Cost Basis'!A$4:A$15,'Cost Basis'!F$4:F$15))))</f>
        <v>1723608</v>
      </c>
      <c r="M148" s="264">
        <f t="shared" ca="1" si="13"/>
        <v>1987608</v>
      </c>
      <c r="N148" s="64" t="s">
        <v>608</v>
      </c>
      <c r="O148" s="253" t="s">
        <v>993</v>
      </c>
      <c r="P148" s="69"/>
      <c r="Q148" s="2">
        <f t="shared" si="11"/>
        <v>1</v>
      </c>
      <c r="R148" s="221">
        <f t="shared" si="10"/>
        <v>1</v>
      </c>
    </row>
    <row r="149" spans="1:18" x14ac:dyDescent="0.3">
      <c r="A149" s="80">
        <v>1.0399999999999956</v>
      </c>
      <c r="B149" s="59" t="s">
        <v>5</v>
      </c>
      <c r="C149" s="59" t="s">
        <v>42</v>
      </c>
      <c r="D149" s="118">
        <v>56</v>
      </c>
      <c r="E149" s="118">
        <v>24</v>
      </c>
      <c r="F149" s="59"/>
      <c r="G149" s="59" t="s">
        <v>415</v>
      </c>
      <c r="H149" s="60">
        <f>IF(B149="Projects","N/A",IF(B149="Served","N/A",('Cost Basis'!E$3+('Cost Basis'!C$3*Model!D149))*(1+'Cost Basis'!F$3)))</f>
        <v>627000</v>
      </c>
      <c r="I149" s="123" t="s">
        <v>411</v>
      </c>
      <c r="J149" s="59" t="s">
        <v>433</v>
      </c>
      <c r="K149" s="61">
        <v>5280</v>
      </c>
      <c r="L149" s="62">
        <f ca="1">IF(K149=0,"N/A",(LOOKUP(I149,'Cost Basis'!A$4:A$15,'Cost Basis'!E$4:E$15)+IF(LOOKUP(Model!I149,'Cost Basis'!A$4:A$11)=I149,LOOKUP(Model!I149,'Cost Basis'!A$4:A$11,'Cost Basis'!C$4:C$11)*Model!K149*(1+LOOKUP(I149,'Cost Basis'!A$4:A$15,'Cost Basis'!F$3:F$15)),LOOKUP(Model!I149,'Cost Basis'!A$4:A$15,'Cost Basis'!C$4:C$15)*ROUNDUP(Model!K149/5280/30,0))*(1+LOOKUP(I149,'Cost Basis'!A$4:A$15,'Cost Basis'!F$4:F$15))))</f>
        <v>1723608</v>
      </c>
      <c r="M149" s="264">
        <f t="shared" ca="1" si="13"/>
        <v>2350608</v>
      </c>
      <c r="N149" s="64" t="s">
        <v>609</v>
      </c>
      <c r="O149" s="253" t="s">
        <v>995</v>
      </c>
      <c r="P149" s="69"/>
      <c r="Q149" s="2">
        <f t="shared" si="11"/>
        <v>1</v>
      </c>
      <c r="R149" s="221">
        <f t="shared" si="10"/>
        <v>1</v>
      </c>
    </row>
    <row r="150" spans="1:18" x14ac:dyDescent="0.3">
      <c r="A150" s="80">
        <v>1.0419999999999954</v>
      </c>
      <c r="B150" s="59" t="s">
        <v>5</v>
      </c>
      <c r="C150" s="59" t="s">
        <v>44</v>
      </c>
      <c r="D150" s="118">
        <v>104</v>
      </c>
      <c r="E150" s="118">
        <v>71</v>
      </c>
      <c r="F150" s="59"/>
      <c r="G150" s="59" t="s">
        <v>415</v>
      </c>
      <c r="H150" s="60">
        <f>IF(B150="Projects","N/A",IF(B150="Served","N/A",('Cost Basis'!E$3+('Cost Basis'!C$3*Model!D150))*(1+'Cost Basis'!F$3)))</f>
        <v>1023000.0000000001</v>
      </c>
      <c r="I150" s="123" t="s">
        <v>414</v>
      </c>
      <c r="J150" s="59" t="s">
        <v>417</v>
      </c>
      <c r="K150" s="61">
        <v>8600</v>
      </c>
      <c r="L150" s="62">
        <f ca="1">IF(K150=0,"N/A",(LOOKUP(I150,'Cost Basis'!A$4:A$15,'Cost Basis'!E$4:E$15)+IF(LOOKUP(Model!I150,'Cost Basis'!A$4:A$11)=I150,LOOKUP(Model!I150,'Cost Basis'!A$4:A$11,'Cost Basis'!C$4:C$11)*Model!K150*(1+LOOKUP(I150,'Cost Basis'!A$4:A$15,'Cost Basis'!F$3:F$15)),LOOKUP(Model!I150,'Cost Basis'!A$4:A$15,'Cost Basis'!C$4:C$15)*ROUNDUP(Model!K150/5280/30,0))*(1+LOOKUP(I150,'Cost Basis'!A$4:A$15,'Cost Basis'!F$4:F$15))))</f>
        <v>1659744</v>
      </c>
      <c r="M150" s="264">
        <f t="shared" ca="1" si="13"/>
        <v>2682744</v>
      </c>
      <c r="N150" s="64" t="s">
        <v>610</v>
      </c>
      <c r="O150" s="253" t="s">
        <v>993</v>
      </c>
      <c r="P150" s="69"/>
      <c r="Q150" s="2">
        <f t="shared" si="11"/>
        <v>1</v>
      </c>
      <c r="R150" s="221">
        <f t="shared" si="10"/>
        <v>1.6287878787878789</v>
      </c>
    </row>
    <row r="151" spans="1:18" x14ac:dyDescent="0.3">
      <c r="A151" s="80">
        <v>1.0479999999999947</v>
      </c>
      <c r="B151" s="59" t="s">
        <v>5</v>
      </c>
      <c r="C151" s="59" t="s">
        <v>50</v>
      </c>
      <c r="D151" s="118">
        <v>22</v>
      </c>
      <c r="E151" s="118">
        <v>2</v>
      </c>
      <c r="F151" s="59"/>
      <c r="G151" s="59" t="s">
        <v>415</v>
      </c>
      <c r="H151" s="60">
        <f>IF(B151="Projects","N/A",IF(B151="Served","N/A",('Cost Basis'!E$3+('Cost Basis'!C$3*Model!D151))*(1+'Cost Basis'!F$3)))</f>
        <v>346500</v>
      </c>
      <c r="I151" s="123" t="s">
        <v>421</v>
      </c>
      <c r="J151" s="59" t="s">
        <v>611</v>
      </c>
      <c r="K151" s="61">
        <v>8500</v>
      </c>
      <c r="L151" s="62">
        <f ca="1">IF(K151=0,"N/A",(LOOKUP(I151,'Cost Basis'!A$4:A$15,'Cost Basis'!E$4:E$15)+IF(LOOKUP(Model!I151,'Cost Basis'!A$4:A$11)=I151,LOOKUP(Model!I151,'Cost Basis'!A$4:A$11,'Cost Basis'!C$4:C$11)*Model!K151*(1+LOOKUP(I151,'Cost Basis'!A$4:A$15,'Cost Basis'!F$3:F$15)),LOOKUP(Model!I151,'Cost Basis'!A$4:A$15,'Cost Basis'!C$4:C$15)*ROUNDUP(Model!K151/5280/30,0))*(1+LOOKUP(I151,'Cost Basis'!A$4:A$15,'Cost Basis'!F$4:F$15))))</f>
        <v>1767980</v>
      </c>
      <c r="M151" s="264">
        <f t="shared" ca="1" si="13"/>
        <v>2114480</v>
      </c>
      <c r="N151" s="64" t="s">
        <v>612</v>
      </c>
      <c r="O151" s="253" t="s">
        <v>991</v>
      </c>
      <c r="P151" s="69"/>
      <c r="Q151" s="2">
        <f t="shared" si="11"/>
        <v>1</v>
      </c>
      <c r="R151" s="221">
        <f t="shared" si="10"/>
        <v>1.6098484848484849</v>
      </c>
    </row>
    <row r="152" spans="1:18" x14ac:dyDescent="0.3">
      <c r="A152" s="80">
        <v>1.0569999999999937</v>
      </c>
      <c r="B152" s="59" t="s">
        <v>5</v>
      </c>
      <c r="C152" s="59" t="s">
        <v>59</v>
      </c>
      <c r="D152" s="118">
        <v>7</v>
      </c>
      <c r="E152" s="118">
        <v>4</v>
      </c>
      <c r="F152" s="59"/>
      <c r="G152" s="59" t="s">
        <v>415</v>
      </c>
      <c r="H152" s="60">
        <f>IF(B152="Projects","N/A",IF(B152="Served","N/A",('Cost Basis'!E$3+('Cost Basis'!C$3*Model!D152))*(1+'Cost Basis'!F$3)))</f>
        <v>222750.00000000003</v>
      </c>
      <c r="I152" s="123" t="s">
        <v>411</v>
      </c>
      <c r="J152" s="59" t="s">
        <v>436</v>
      </c>
      <c r="K152" s="61">
        <v>7300</v>
      </c>
      <c r="L152" s="62">
        <f ca="1">IF(K152=0,"N/A",(LOOKUP(I152,'Cost Basis'!A$4:A$15,'Cost Basis'!E$4:E$15)+IF(LOOKUP(Model!I152,'Cost Basis'!A$4:A$11)=I152,LOOKUP(Model!I152,'Cost Basis'!A$4:A$11,'Cost Basis'!C$4:C$11)*Model!K152*(1+LOOKUP(I152,'Cost Basis'!A$4:A$15,'Cost Basis'!F$3:F$15)),LOOKUP(Model!I152,'Cost Basis'!A$4:A$15,'Cost Basis'!C$4:C$15)*ROUNDUP(Model!K152/5280/30,0))*(1+LOOKUP(I152,'Cost Basis'!A$4:A$15,'Cost Basis'!F$4:F$15))))</f>
        <v>1809155</v>
      </c>
      <c r="M152" s="264">
        <f t="shared" ca="1" si="13"/>
        <v>2031905</v>
      </c>
      <c r="N152" s="64" t="s">
        <v>613</v>
      </c>
      <c r="O152" s="253" t="s">
        <v>993</v>
      </c>
      <c r="P152" s="69"/>
      <c r="Q152" s="2">
        <f t="shared" si="11"/>
        <v>1</v>
      </c>
      <c r="R152" s="221">
        <f t="shared" si="10"/>
        <v>1.3825757575757576</v>
      </c>
    </row>
    <row r="153" spans="1:18" x14ac:dyDescent="0.3">
      <c r="A153" s="80">
        <v>2.0039999999999996</v>
      </c>
      <c r="B153" s="59" t="s">
        <v>202</v>
      </c>
      <c r="C153" s="59" t="s">
        <v>206</v>
      </c>
      <c r="D153" s="118">
        <v>36</v>
      </c>
      <c r="E153" s="118">
        <v>6</v>
      </c>
      <c r="F153" s="59"/>
      <c r="G153" s="59" t="s">
        <v>415</v>
      </c>
      <c r="H153" s="60">
        <f>IF(B153="Projects","N/A",IF(B153="Served","N/A",('Cost Basis'!E$3+('Cost Basis'!C$3*Model!D153))*(1+'Cost Basis'!F$3)))</f>
        <v>462000.00000000006</v>
      </c>
      <c r="I153" s="123" t="s">
        <v>414</v>
      </c>
      <c r="J153" s="59" t="s">
        <v>446</v>
      </c>
      <c r="K153" s="61">
        <v>10300</v>
      </c>
      <c r="L153" s="62">
        <f ca="1">IF(K153=0,"N/A",(LOOKUP(I153,'Cost Basis'!A$4:A$15,'Cost Basis'!E$4:E$15)+IF(LOOKUP(Model!I153,'Cost Basis'!A$4:A$11)=I153,LOOKUP(Model!I153,'Cost Basis'!A$4:A$11,'Cost Basis'!C$4:C$11)*Model!K153*(1+LOOKUP(I153,'Cost Basis'!A$4:A$15,'Cost Basis'!F$3:F$15)),LOOKUP(Model!I153,'Cost Basis'!A$4:A$15,'Cost Basis'!C$4:C$15)*ROUNDUP(Model!K153/5280/30,0))*(1+LOOKUP(I153,'Cost Basis'!A$4:A$15,'Cost Basis'!F$4:F$15))))</f>
        <v>1709112</v>
      </c>
      <c r="M153" s="264">
        <f t="shared" ca="1" si="13"/>
        <v>2171112</v>
      </c>
      <c r="N153" s="64" t="s">
        <v>614</v>
      </c>
      <c r="O153" s="253" t="s">
        <v>993</v>
      </c>
      <c r="P153" s="69"/>
      <c r="Q153" s="2">
        <f t="shared" si="11"/>
        <v>1</v>
      </c>
      <c r="R153" s="221">
        <f t="shared" si="10"/>
        <v>1.9507575757575757</v>
      </c>
    </row>
    <row r="154" spans="1:18" x14ac:dyDescent="0.3">
      <c r="A154" s="80">
        <v>2.0059999999999993</v>
      </c>
      <c r="B154" s="59" t="s">
        <v>202</v>
      </c>
      <c r="C154" s="59" t="s">
        <v>208</v>
      </c>
      <c r="D154" s="118">
        <v>204</v>
      </c>
      <c r="E154" s="118">
        <v>109</v>
      </c>
      <c r="F154" s="59"/>
      <c r="G154" s="59" t="s">
        <v>415</v>
      </c>
      <c r="H154" s="60">
        <f>IF(B154="Projects","N/A",IF(B154="Served","N/A",('Cost Basis'!E$3+('Cost Basis'!C$3*Model!D154))*(1+'Cost Basis'!F$3)))</f>
        <v>1848000.0000000002</v>
      </c>
      <c r="I154" s="123" t="s">
        <v>411</v>
      </c>
      <c r="J154" s="59" t="s">
        <v>326</v>
      </c>
      <c r="K154" s="61">
        <v>29800</v>
      </c>
      <c r="L154" s="62">
        <f ca="1">IF(K154=0,"N/A",(LOOKUP(I154,'Cost Basis'!A$4:A$15,'Cost Basis'!E$4:E$15)+IF(LOOKUP(Model!I154,'Cost Basis'!A$4:A$11)=I154,LOOKUP(Model!I154,'Cost Basis'!A$4:A$11,'Cost Basis'!C$4:C$11)*Model!K154*(1+LOOKUP(I154,'Cost Basis'!A$4:A$15,'Cost Basis'!F$3:F$15)),LOOKUP(Model!I154,'Cost Basis'!A$4:A$15,'Cost Basis'!C$4:C$15)*ROUNDUP(Model!K154/5280/30,0))*(1+LOOKUP(I154,'Cost Basis'!A$4:A$15,'Cost Basis'!F$4:F$15))))</f>
        <v>2762030</v>
      </c>
      <c r="M154" s="264">
        <f t="shared" ca="1" si="13"/>
        <v>4610030</v>
      </c>
      <c r="N154" s="64" t="s">
        <v>615</v>
      </c>
      <c r="O154" s="253" t="s">
        <v>996</v>
      </c>
      <c r="P154" s="69"/>
      <c r="Q154" s="2">
        <f t="shared" si="11"/>
        <v>1</v>
      </c>
      <c r="R154" s="221">
        <f t="shared" si="10"/>
        <v>5.6439393939393936</v>
      </c>
    </row>
    <row r="155" spans="1:18" x14ac:dyDescent="0.3">
      <c r="A155" s="80">
        <v>1.1049999999999884</v>
      </c>
      <c r="B155" s="59" t="s">
        <v>5</v>
      </c>
      <c r="C155" s="59" t="s">
        <v>106</v>
      </c>
      <c r="D155" s="118">
        <v>128</v>
      </c>
      <c r="E155" s="118">
        <v>65</v>
      </c>
      <c r="F155" s="59"/>
      <c r="G155" s="59" t="s">
        <v>415</v>
      </c>
      <c r="H155" s="60">
        <f>IF(B155="Projects","N/A",IF(B155="Served","N/A",('Cost Basis'!E$3+('Cost Basis'!C$3*Model!D155))*(1+'Cost Basis'!F$3)))</f>
        <v>1221000</v>
      </c>
      <c r="I155" s="123" t="s">
        <v>411</v>
      </c>
      <c r="J155" s="59" t="s">
        <v>281</v>
      </c>
      <c r="K155" s="61">
        <v>53700</v>
      </c>
      <c r="L155" s="62">
        <f ca="1">IF(K155=0,"N/A",(LOOKUP(I155,'Cost Basis'!A$4:A$15,'Cost Basis'!E$4:E$15)+IF(LOOKUP(Model!I155,'Cost Basis'!A$4:A$11)=I155,LOOKUP(Model!I155,'Cost Basis'!A$4:A$11,'Cost Basis'!C$4:C$11)*Model!K155*(1+LOOKUP(I155,'Cost Basis'!A$4:A$15,'Cost Basis'!F$3:F$15)),LOOKUP(Model!I155,'Cost Basis'!A$4:A$15,'Cost Basis'!C$4:C$15)*ROUNDUP(Model!K155/5280/30,0))*(1+LOOKUP(I155,'Cost Basis'!A$4:A$15,'Cost Basis'!F$4:F$15))))</f>
        <v>3774195.0000000005</v>
      </c>
      <c r="M155" s="264">
        <f t="shared" ca="1" si="13"/>
        <v>4995195</v>
      </c>
      <c r="N155" s="64" t="s">
        <v>616</v>
      </c>
      <c r="O155" s="253" t="s">
        <v>995</v>
      </c>
      <c r="P155" s="69"/>
      <c r="Q155" s="2">
        <f t="shared" si="11"/>
        <v>1</v>
      </c>
      <c r="R155" s="221">
        <f t="shared" si="10"/>
        <v>10.170454545454545</v>
      </c>
    </row>
    <row r="156" spans="1:18" x14ac:dyDescent="0.3">
      <c r="A156" s="80">
        <v>2.0079999999999991</v>
      </c>
      <c r="B156" s="59" t="s">
        <v>202</v>
      </c>
      <c r="C156" s="59" t="s">
        <v>210</v>
      </c>
      <c r="D156" s="118">
        <v>138</v>
      </c>
      <c r="E156" s="118">
        <v>109</v>
      </c>
      <c r="F156" s="59"/>
      <c r="G156" s="59" t="s">
        <v>415</v>
      </c>
      <c r="H156" s="60">
        <f>IF(B156="Projects","N/A",IF(B156="Served","N/A",('Cost Basis'!E$3+('Cost Basis'!C$3*Model!D156))*(1+'Cost Basis'!F$3)))</f>
        <v>1303500</v>
      </c>
      <c r="I156" s="123" t="s">
        <v>421</v>
      </c>
      <c r="J156" s="59" t="s">
        <v>499</v>
      </c>
      <c r="K156" s="61">
        <v>407300</v>
      </c>
      <c r="L156" s="62">
        <f ca="1">IF(K156=0,"N/A",(LOOKUP(I156,'Cost Basis'!A$4:A$15,'Cost Basis'!E$4:E$15)+IF(LOOKUP(Model!I156,'Cost Basis'!A$4:A$11)=I156,LOOKUP(Model!I156,'Cost Basis'!A$4:A$11,'Cost Basis'!C$4:C$11)*Model!K156*(1+LOOKUP(I156,'Cost Basis'!A$4:A$15,'Cost Basis'!F$3:F$15)),LOOKUP(Model!I156,'Cost Basis'!A$4:A$15,'Cost Basis'!C$4:C$15)*ROUNDUP(Model!K156/5280/30,0))*(1+LOOKUP(I156,'Cost Basis'!A$4:A$15,'Cost Basis'!F$4:F$15))))</f>
        <v>15279324.000000004</v>
      </c>
      <c r="M156" s="264">
        <f t="shared" ca="1" si="13"/>
        <v>16582824.000000004</v>
      </c>
      <c r="N156" s="64" t="s">
        <v>618</v>
      </c>
      <c r="O156" s="253" t="s">
        <v>998</v>
      </c>
      <c r="P156" s="69"/>
      <c r="Q156" s="2">
        <f t="shared" si="11"/>
        <v>1</v>
      </c>
      <c r="R156" s="221">
        <f t="shared" si="10"/>
        <v>77.140151515151516</v>
      </c>
    </row>
    <row r="157" spans="1:18" x14ac:dyDescent="0.3">
      <c r="A157" s="80">
        <v>1.1299999999999857</v>
      </c>
      <c r="B157" s="59" t="s">
        <v>5</v>
      </c>
      <c r="C157" s="59" t="s">
        <v>131</v>
      </c>
      <c r="D157" s="118">
        <v>171</v>
      </c>
      <c r="E157" s="118">
        <v>0</v>
      </c>
      <c r="F157" s="59"/>
      <c r="G157" s="59" t="s">
        <v>415</v>
      </c>
      <c r="H157" s="60">
        <f>IF(B157="Projects","N/A",IF(B157="Served","N/A",('Cost Basis'!E$3+('Cost Basis'!C$3*Model!D157))*(1+'Cost Basis'!F$3)))</f>
        <v>1575750.0000000002</v>
      </c>
      <c r="I157" s="123" t="s">
        <v>414</v>
      </c>
      <c r="J157" s="59" t="s">
        <v>436</v>
      </c>
      <c r="K157" s="61">
        <v>96100</v>
      </c>
      <c r="L157" s="62">
        <f ca="1">IF(K157=0,"N/A",(LOOKUP(I157,'Cost Basis'!A$4:A$15,'Cost Basis'!E$4:E$15)+IF(LOOKUP(Model!I157,'Cost Basis'!A$4:A$11)=I157,LOOKUP(Model!I157,'Cost Basis'!A$4:A$11,'Cost Basis'!C$4:C$11)*Model!K157*(1+LOOKUP(I157,'Cost Basis'!A$4:A$15,'Cost Basis'!F$3:F$15)),LOOKUP(Model!I157,'Cost Basis'!A$4:A$15,'Cost Basis'!C$4:C$15)*ROUNDUP(Model!K157/5280/30,0))*(1+LOOKUP(I157,'Cost Basis'!A$4:A$15,'Cost Basis'!F$4:F$15))))</f>
        <v>4200744</v>
      </c>
      <c r="M157" s="264">
        <f t="shared" ca="1" si="13"/>
        <v>5776494</v>
      </c>
      <c r="N157" s="64" t="s">
        <v>619</v>
      </c>
      <c r="O157" s="253" t="s">
        <v>995</v>
      </c>
      <c r="P157" s="69"/>
      <c r="Q157" s="2">
        <f t="shared" si="11"/>
        <v>1</v>
      </c>
      <c r="R157" s="221">
        <f t="shared" si="10"/>
        <v>18.200757575757574</v>
      </c>
    </row>
    <row r="158" spans="1:18" x14ac:dyDescent="0.3">
      <c r="A158" s="80">
        <v>1.1349999999999851</v>
      </c>
      <c r="B158" s="59" t="s">
        <v>5</v>
      </c>
      <c r="C158" s="59" t="s">
        <v>136</v>
      </c>
      <c r="D158" s="118">
        <v>5</v>
      </c>
      <c r="E158" s="118">
        <v>1</v>
      </c>
      <c r="F158" s="59"/>
      <c r="G158" s="59" t="s">
        <v>415</v>
      </c>
      <c r="H158" s="60">
        <f>IF(B158="Projects","N/A",IF(B158="Served","N/A",('Cost Basis'!E$3+('Cost Basis'!C$3*Model!D158))*(1+'Cost Basis'!F$3)))</f>
        <v>206250.00000000003</v>
      </c>
      <c r="I158" s="123" t="s">
        <v>412</v>
      </c>
      <c r="J158" s="59" t="s">
        <v>77</v>
      </c>
      <c r="K158" s="61">
        <v>93700</v>
      </c>
      <c r="L158" s="62">
        <f ca="1">IF(K158=0,"N/A",(LOOKUP(I158,'Cost Basis'!A$4:A$15,'Cost Basis'!E$4:E$15)+IF(LOOKUP(Model!I158,'Cost Basis'!A$4:A$11)=I158,LOOKUP(Model!I158,'Cost Basis'!A$4:A$11,'Cost Basis'!C$4:C$11)*Model!K158*(1+LOOKUP(I158,'Cost Basis'!A$4:A$15,'Cost Basis'!F$3:F$15)),LOOKUP(Model!I158,'Cost Basis'!A$4:A$15,'Cost Basis'!C$4:C$15)*ROUNDUP(Model!K158/5280/30,0))*(1+LOOKUP(I158,'Cost Basis'!A$4:A$15,'Cost Basis'!F$4:F$15))))</f>
        <v>5338064.0000000009</v>
      </c>
      <c r="M158" s="264">
        <f t="shared" ca="1" si="13"/>
        <v>5544314.0000000009</v>
      </c>
      <c r="N158" s="64" t="s">
        <v>621</v>
      </c>
      <c r="O158" s="253" t="s">
        <v>991</v>
      </c>
      <c r="P158" s="69"/>
      <c r="Q158" s="2">
        <f t="shared" si="11"/>
        <v>1</v>
      </c>
      <c r="R158" s="221">
        <f t="shared" si="10"/>
        <v>17.746212121212121</v>
      </c>
    </row>
    <row r="159" spans="1:18" x14ac:dyDescent="0.3">
      <c r="A159" s="80">
        <v>1.0539999999999941</v>
      </c>
      <c r="B159" s="59" t="s">
        <v>5</v>
      </c>
      <c r="C159" s="59" t="s">
        <v>56</v>
      </c>
      <c r="D159" s="118">
        <v>150</v>
      </c>
      <c r="E159" s="118">
        <v>126</v>
      </c>
      <c r="F159" s="59"/>
      <c r="G159" s="59" t="s">
        <v>415</v>
      </c>
      <c r="H159" s="60">
        <f>IF(B159="Projects","N/A",IF(B159="Served","N/A",('Cost Basis'!E$3+('Cost Basis'!C$3*Model!D159))*(1+'Cost Basis'!F$3)))</f>
        <v>1402500</v>
      </c>
      <c r="I159" s="123" t="s">
        <v>412</v>
      </c>
      <c r="J159" s="59" t="s">
        <v>438</v>
      </c>
      <c r="K159" s="61">
        <v>238139</v>
      </c>
      <c r="L159" s="62">
        <f ca="1">IF(K159=0,"N/A",(LOOKUP(I159,'Cost Basis'!A$4:A$15,'Cost Basis'!E$4:E$15)+IF(LOOKUP(Model!I159,'Cost Basis'!A$4:A$11)=I159,LOOKUP(Model!I159,'Cost Basis'!A$4:A$11,'Cost Basis'!C$4:C$11)*Model!K159*(1+LOOKUP(I159,'Cost Basis'!A$4:A$15,'Cost Basis'!F$3:F$15)),LOOKUP(Model!I159,'Cost Basis'!A$4:A$15,'Cost Basis'!C$4:C$15)*ROUNDUP(Model!K159/5280/30,0))*(1+LOOKUP(I159,'Cost Basis'!A$4:A$15,'Cost Basis'!F$4:F$15))))</f>
        <v>10930742.080000002</v>
      </c>
      <c r="M159" s="264">
        <f t="shared" ca="1" si="13"/>
        <v>12333242.080000002</v>
      </c>
      <c r="N159" s="64" t="s">
        <v>622</v>
      </c>
      <c r="O159" s="253" t="s">
        <v>989</v>
      </c>
      <c r="P159" s="69"/>
      <c r="Q159" s="2">
        <f t="shared" si="11"/>
        <v>1</v>
      </c>
      <c r="R159" s="221">
        <f t="shared" si="10"/>
        <v>45.102083333333333</v>
      </c>
    </row>
    <row r="160" spans="1:18" x14ac:dyDescent="0.3">
      <c r="A160" s="80">
        <v>1.1479999999999837</v>
      </c>
      <c r="B160" s="59" t="s">
        <v>5</v>
      </c>
      <c r="C160" s="59" t="s">
        <v>149</v>
      </c>
      <c r="D160" s="118">
        <v>208</v>
      </c>
      <c r="E160" s="118">
        <v>172</v>
      </c>
      <c r="F160" s="59"/>
      <c r="G160" s="59" t="s">
        <v>415</v>
      </c>
      <c r="H160" s="60">
        <f>IF(B160="Projects","N/A",IF(B160="Served","N/A",('Cost Basis'!E$3+('Cost Basis'!C$3*Model!D160))*(1+'Cost Basis'!F$3)))</f>
        <v>1881000.0000000002</v>
      </c>
      <c r="I160" s="123" t="s">
        <v>412</v>
      </c>
      <c r="J160" s="59" t="s">
        <v>463</v>
      </c>
      <c r="K160" s="61">
        <v>598217</v>
      </c>
      <c r="L160" s="62">
        <f ca="1">IF(K160=0,"N/A",(LOOKUP(I160,'Cost Basis'!A$4:A$15,'Cost Basis'!E$4:E$15)+IF(LOOKUP(Model!I160,'Cost Basis'!A$4:A$11)=I160,LOOKUP(Model!I160,'Cost Basis'!A$4:A$11,'Cost Basis'!C$4:C$11)*Model!K160*(1+LOOKUP(I160,'Cost Basis'!A$4:A$15,'Cost Basis'!F$3:F$15)),LOOKUP(Model!I160,'Cost Basis'!A$4:A$15,'Cost Basis'!C$4:C$15)*ROUNDUP(Model!K160/5280/30,0))*(1+LOOKUP(I160,'Cost Basis'!A$4:A$15,'Cost Basis'!F$4:F$15))))</f>
        <v>24872962.240000006</v>
      </c>
      <c r="M160" s="264">
        <f t="shared" ca="1" si="13"/>
        <v>26753962.240000006</v>
      </c>
      <c r="N160" s="64" t="s">
        <v>624</v>
      </c>
      <c r="O160" s="253" t="s">
        <v>989</v>
      </c>
      <c r="P160" s="69"/>
      <c r="Q160" s="2">
        <f t="shared" si="11"/>
        <v>1</v>
      </c>
      <c r="R160" s="221">
        <f t="shared" si="10"/>
        <v>113.29867424242424</v>
      </c>
    </row>
    <row r="161" spans="1:18" x14ac:dyDescent="0.3">
      <c r="A161" s="80">
        <v>2.008999999999999</v>
      </c>
      <c r="B161" s="59" t="s">
        <v>202</v>
      </c>
      <c r="C161" s="59" t="s">
        <v>211</v>
      </c>
      <c r="D161" s="118">
        <v>80</v>
      </c>
      <c r="E161" s="118">
        <v>30</v>
      </c>
      <c r="F161" s="59"/>
      <c r="G161" s="59" t="s">
        <v>415</v>
      </c>
      <c r="H161" s="60">
        <f>IF(B161="Projects","N/A",IF(B161="Served","N/A",('Cost Basis'!E$3+('Cost Basis'!C$3*Model!D161))*(1+'Cost Basis'!F$3)))</f>
        <v>825000.00000000012</v>
      </c>
      <c r="I161" s="123" t="s">
        <v>411</v>
      </c>
      <c r="J161" s="59" t="s">
        <v>466</v>
      </c>
      <c r="K161" s="61">
        <v>6500</v>
      </c>
      <c r="L161" s="62">
        <f ca="1">IF(K161=0,"N/A",(LOOKUP(I161,'Cost Basis'!A$4:A$15,'Cost Basis'!E$4:E$15)+IF(LOOKUP(Model!I161,'Cost Basis'!A$4:A$11)=I161,LOOKUP(Model!I161,'Cost Basis'!A$4:A$11,'Cost Basis'!C$4:C$11)*Model!K161*(1+LOOKUP(I161,'Cost Basis'!A$4:A$15,'Cost Basis'!F$3:F$15)),LOOKUP(Model!I161,'Cost Basis'!A$4:A$15,'Cost Basis'!C$4:C$15)*ROUNDUP(Model!K161/5280/30,0))*(1+LOOKUP(I161,'Cost Basis'!A$4:A$15,'Cost Basis'!F$4:F$15))))</f>
        <v>1775275</v>
      </c>
      <c r="M161" s="264">
        <f t="shared" ca="1" si="13"/>
        <v>2600275</v>
      </c>
      <c r="N161" s="64" t="s">
        <v>625</v>
      </c>
      <c r="O161" s="253" t="s">
        <v>993</v>
      </c>
      <c r="P161" s="69"/>
      <c r="Q161" s="2">
        <f t="shared" si="11"/>
        <v>1</v>
      </c>
      <c r="R161" s="221">
        <f t="shared" si="10"/>
        <v>1.231060606060606</v>
      </c>
    </row>
    <row r="162" spans="1:18" x14ac:dyDescent="0.3">
      <c r="A162" s="80">
        <v>1.1979999999999782</v>
      </c>
      <c r="B162" s="59" t="s">
        <v>5</v>
      </c>
      <c r="C162" s="59" t="s">
        <v>198</v>
      </c>
      <c r="D162" s="118">
        <v>30</v>
      </c>
      <c r="E162" s="118">
        <v>11</v>
      </c>
      <c r="F162" s="59"/>
      <c r="G162" s="59" t="s">
        <v>415</v>
      </c>
      <c r="H162" s="60">
        <f>IF(B162="Projects","N/A",IF(B162="Served","N/A",('Cost Basis'!E$3+('Cost Basis'!C$3*Model!D162))*(1+'Cost Basis'!F$3)))</f>
        <v>412500.00000000006</v>
      </c>
      <c r="I162" s="123" t="s">
        <v>410</v>
      </c>
      <c r="J162" s="59" t="s">
        <v>290</v>
      </c>
      <c r="K162" s="61">
        <v>13900</v>
      </c>
      <c r="L162" s="62">
        <f ca="1">IF(K162=0,"N/A",(LOOKUP(I162,'Cost Basis'!A$4:A$15,'Cost Basis'!E$4:E$15)+IF(LOOKUP(Model!I162,'Cost Basis'!A$4:A$11)=I162,LOOKUP(Model!I162,'Cost Basis'!A$4:A$11,'Cost Basis'!C$4:C$11)*Model!K162*(1+LOOKUP(I162,'Cost Basis'!A$4:A$15,'Cost Basis'!F$3:F$15)),LOOKUP(Model!I162,'Cost Basis'!A$4:A$15,'Cost Basis'!C$4:C$15)*ROUNDUP(Model!K162/5280/30,0))*(1+LOOKUP(I162,'Cost Basis'!A$4:A$15,'Cost Basis'!F$4:F$15))))</f>
        <v>1804570</v>
      </c>
      <c r="M162" s="264">
        <f t="shared" ca="1" si="13"/>
        <v>2217070</v>
      </c>
      <c r="N162" s="64" t="s">
        <v>626</v>
      </c>
      <c r="O162" s="253" t="s">
        <v>993</v>
      </c>
      <c r="P162" s="69"/>
      <c r="Q162" s="2">
        <f t="shared" si="11"/>
        <v>1</v>
      </c>
      <c r="R162" s="221">
        <f t="shared" si="10"/>
        <v>2.6325757575757578</v>
      </c>
    </row>
    <row r="163" spans="1:18" x14ac:dyDescent="0.3">
      <c r="A163" s="80">
        <v>1.0599999999999934</v>
      </c>
      <c r="B163" s="59" t="s">
        <v>5</v>
      </c>
      <c r="C163" s="59" t="s">
        <v>62</v>
      </c>
      <c r="D163" s="118">
        <v>40</v>
      </c>
      <c r="E163" s="118">
        <v>33</v>
      </c>
      <c r="F163" s="59"/>
      <c r="G163" s="59" t="s">
        <v>415</v>
      </c>
      <c r="H163" s="60">
        <f>IF(B163="Projects","N/A",IF(B163="Served","N/A",('Cost Basis'!E$3+('Cost Basis'!C$3*Model!D163))*(1+'Cost Basis'!F$3)))</f>
        <v>495000.00000000006</v>
      </c>
      <c r="I163" s="123" t="s">
        <v>412</v>
      </c>
      <c r="J163" s="59" t="s">
        <v>260</v>
      </c>
      <c r="K163" s="61">
        <v>65100</v>
      </c>
      <c r="L163" s="62">
        <f ca="1">IF(K163=0,"N/A",(LOOKUP(I163,'Cost Basis'!A$4:A$15,'Cost Basis'!E$4:E$15)+IF(LOOKUP(Model!I163,'Cost Basis'!A$4:A$11)=I163,LOOKUP(Model!I163,'Cost Basis'!A$4:A$11,'Cost Basis'!C$4:C$11)*Model!K163*(1+LOOKUP(I163,'Cost Basis'!A$4:A$15,'Cost Basis'!F$3:F$15)),LOOKUP(Model!I163,'Cost Basis'!A$4:A$15,'Cost Basis'!C$4:C$15)*ROUNDUP(Model!K163/5280/30,0))*(1+LOOKUP(I163,'Cost Basis'!A$4:A$15,'Cost Basis'!F$4:F$15))))</f>
        <v>4230672</v>
      </c>
      <c r="M163" s="264">
        <f t="shared" ca="1" si="13"/>
        <v>4725672</v>
      </c>
      <c r="N163" s="64" t="s">
        <v>627</v>
      </c>
      <c r="O163" s="253" t="s">
        <v>990</v>
      </c>
      <c r="P163" s="69"/>
      <c r="Q163" s="2">
        <f t="shared" si="11"/>
        <v>1</v>
      </c>
      <c r="R163" s="221">
        <f t="shared" si="10"/>
        <v>12.329545454545455</v>
      </c>
    </row>
    <row r="164" spans="1:18" x14ac:dyDescent="0.3">
      <c r="A164" s="80">
        <v>2.0119999999999987</v>
      </c>
      <c r="B164" s="59" t="s">
        <v>202</v>
      </c>
      <c r="C164" s="59" t="s">
        <v>214</v>
      </c>
      <c r="D164" s="118">
        <v>263</v>
      </c>
      <c r="E164" s="118">
        <v>95</v>
      </c>
      <c r="F164" s="59"/>
      <c r="G164" s="59" t="s">
        <v>415</v>
      </c>
      <c r="H164" s="60">
        <f>IF(B164="Projects","N/A",IF(B164="Served","N/A",('Cost Basis'!E$3+('Cost Basis'!C$3*Model!D164))*(1+'Cost Basis'!F$3)))</f>
        <v>2334750</v>
      </c>
      <c r="I164" s="124" t="s">
        <v>442</v>
      </c>
      <c r="J164" s="88" t="s">
        <v>403</v>
      </c>
      <c r="K164" s="61">
        <v>0</v>
      </c>
      <c r="L164" s="62" t="str">
        <f>IF(K164=0,"N/A",(LOOKUP(I164,'Cost Basis'!A$4:A$15,'Cost Basis'!E$4:E$15)+IF(LOOKUP(Model!I164,'Cost Basis'!A$4:A$11)=I164,LOOKUP(Model!I164,'Cost Basis'!A$4:A$11,'Cost Basis'!C$4:C$11)*Model!K164*(1+LOOKUP(I164,'Cost Basis'!A$4:A$15,'Cost Basis'!F$3:F$15)),LOOKUP(Model!I164,'Cost Basis'!A$4:A$15,'Cost Basis'!C$4:C$15)*ROUNDUP(Model!K164/5280/30,0))*(1+LOOKUP(I164,'Cost Basis'!A$4:A$15,'Cost Basis'!F$4:F$15))))</f>
        <v>N/A</v>
      </c>
      <c r="M164" s="264">
        <f t="shared" si="12"/>
        <v>2334750</v>
      </c>
      <c r="N164" s="64" t="s">
        <v>628</v>
      </c>
      <c r="O164" s="253" t="s">
        <v>995</v>
      </c>
      <c r="P164" s="69"/>
      <c r="Q164" s="2">
        <f t="shared" si="11"/>
        <v>1</v>
      </c>
      <c r="R164" s="221">
        <f t="shared" si="10"/>
        <v>0</v>
      </c>
    </row>
    <row r="165" spans="1:18" x14ac:dyDescent="0.3">
      <c r="A165" s="80">
        <v>2.0029999999999997</v>
      </c>
      <c r="B165" s="59" t="s">
        <v>202</v>
      </c>
      <c r="C165" s="59" t="s">
        <v>205</v>
      </c>
      <c r="D165" s="118">
        <v>148</v>
      </c>
      <c r="E165" s="118">
        <v>128</v>
      </c>
      <c r="F165" s="59"/>
      <c r="G165" s="59" t="s">
        <v>415</v>
      </c>
      <c r="H165" s="60">
        <f>IF(B165="Projects","N/A",IF(B165="Served","N/A",('Cost Basis'!E$3+('Cost Basis'!C$3*Model!D165))*(1+'Cost Basis'!F$3)))</f>
        <v>1386000</v>
      </c>
      <c r="I165" s="124" t="s">
        <v>442</v>
      </c>
      <c r="J165" s="88" t="s">
        <v>403</v>
      </c>
      <c r="K165" s="61">
        <v>0</v>
      </c>
      <c r="L165" s="62" t="str">
        <f>IF(K165=0,"N/A",(LOOKUP(I165,'Cost Basis'!A$4:A$15,'Cost Basis'!E$4:E$15)+IF(LOOKUP(Model!I165,'Cost Basis'!A$4:A$11)=I165,LOOKUP(Model!I165,'Cost Basis'!A$4:A$11,'Cost Basis'!C$4:C$11)*Model!K165*(1+LOOKUP(I165,'Cost Basis'!A$4:A$15,'Cost Basis'!F$3:F$15)),LOOKUP(Model!I165,'Cost Basis'!A$4:A$15,'Cost Basis'!C$4:C$15)*ROUNDUP(Model!K165/5280/30,0))*(1+LOOKUP(I165,'Cost Basis'!A$4:A$15,'Cost Basis'!F$4:F$15))))</f>
        <v>N/A</v>
      </c>
      <c r="M165" s="264">
        <f t="shared" si="12"/>
        <v>1386000</v>
      </c>
      <c r="N165" s="64" t="s">
        <v>629</v>
      </c>
      <c r="O165" s="253" t="s">
        <v>996</v>
      </c>
      <c r="P165" s="69"/>
      <c r="Q165" s="2">
        <f t="shared" si="11"/>
        <v>1</v>
      </c>
      <c r="R165" s="221">
        <f t="shared" si="10"/>
        <v>0</v>
      </c>
    </row>
    <row r="166" spans="1:18" x14ac:dyDescent="0.3">
      <c r="A166" s="80">
        <v>2.0009999999999999</v>
      </c>
      <c r="B166" s="59" t="s">
        <v>202</v>
      </c>
      <c r="C166" s="59" t="s">
        <v>203</v>
      </c>
      <c r="D166" s="118">
        <v>596</v>
      </c>
      <c r="E166" s="118">
        <v>504</v>
      </c>
      <c r="F166" s="59"/>
      <c r="G166" s="59" t="s">
        <v>415</v>
      </c>
      <c r="H166" s="60">
        <f>IF(B166="Projects","N/A",IF(B166="Served","N/A",('Cost Basis'!E$3+('Cost Basis'!C$3*Model!D166))*(1+'Cost Basis'!F$3)))</f>
        <v>5082000</v>
      </c>
      <c r="I166" s="124" t="s">
        <v>442</v>
      </c>
      <c r="J166" s="88" t="s">
        <v>403</v>
      </c>
      <c r="K166" s="61">
        <v>0</v>
      </c>
      <c r="L166" s="62" t="str">
        <f>IF(K166=0,"N/A",(LOOKUP(I166,'Cost Basis'!A$4:A$15,'Cost Basis'!E$4:E$15)+IF(LOOKUP(Model!I166,'Cost Basis'!A$4:A$11)=I166,LOOKUP(Model!I166,'Cost Basis'!A$4:A$11,'Cost Basis'!C$4:C$11)*Model!K166*(1+LOOKUP(I166,'Cost Basis'!A$4:A$15,'Cost Basis'!F$3:F$15)),LOOKUP(Model!I166,'Cost Basis'!A$4:A$15,'Cost Basis'!C$4:C$15)*ROUNDUP(Model!K166/5280/30,0))*(1+LOOKUP(I166,'Cost Basis'!A$4:A$15,'Cost Basis'!F$4:F$15))))</f>
        <v>N/A</v>
      </c>
      <c r="M166" s="264">
        <f t="shared" si="12"/>
        <v>5082000</v>
      </c>
      <c r="N166" s="64" t="s">
        <v>630</v>
      </c>
      <c r="O166" s="253" t="s">
        <v>996</v>
      </c>
      <c r="P166" s="69"/>
      <c r="Q166" s="2">
        <f t="shared" si="11"/>
        <v>1</v>
      </c>
      <c r="R166" s="221">
        <f t="shared" si="10"/>
        <v>0</v>
      </c>
    </row>
    <row r="167" spans="1:18" x14ac:dyDescent="0.3">
      <c r="A167" s="80">
        <v>1.0549999999999939</v>
      </c>
      <c r="B167" s="59" t="s">
        <v>5</v>
      </c>
      <c r="C167" s="59" t="s">
        <v>57</v>
      </c>
      <c r="D167" s="118">
        <v>35</v>
      </c>
      <c r="E167" s="118">
        <v>20</v>
      </c>
      <c r="F167" s="59"/>
      <c r="G167" s="59" t="s">
        <v>415</v>
      </c>
      <c r="H167" s="60">
        <f>IF(B167="Projects","N/A",IF(B167="Served","N/A",('Cost Basis'!E$3+('Cost Basis'!C$3*Model!D167))*(1+'Cost Basis'!F$3)))</f>
        <v>453750.00000000006</v>
      </c>
      <c r="I167" s="124" t="s">
        <v>442</v>
      </c>
      <c r="J167" s="88" t="s">
        <v>403</v>
      </c>
      <c r="K167" s="61">
        <v>0</v>
      </c>
      <c r="L167" s="62" t="str">
        <f>IF(K167=0,"N/A",(LOOKUP(I167,'Cost Basis'!A$4:A$15,'Cost Basis'!E$4:E$15)+IF(LOOKUP(Model!I167,'Cost Basis'!A$4:A$11)=I167,LOOKUP(Model!I167,'Cost Basis'!A$4:A$11,'Cost Basis'!C$4:C$11)*Model!K167*(1+LOOKUP(I167,'Cost Basis'!A$4:A$15,'Cost Basis'!F$3:F$15)),LOOKUP(Model!I167,'Cost Basis'!A$4:A$15,'Cost Basis'!C$4:C$15)*ROUNDUP(Model!K167/5280/30,0))*(1+LOOKUP(I167,'Cost Basis'!A$4:A$15,'Cost Basis'!F$4:F$15))))</f>
        <v>N/A</v>
      </c>
      <c r="M167" s="264">
        <f t="shared" si="12"/>
        <v>453750.00000000006</v>
      </c>
      <c r="N167" s="64" t="s">
        <v>633</v>
      </c>
      <c r="O167" s="253" t="s">
        <v>993</v>
      </c>
      <c r="P167" s="69"/>
      <c r="Q167" s="2">
        <f t="shared" si="11"/>
        <v>1</v>
      </c>
      <c r="R167" s="221">
        <f t="shared" si="10"/>
        <v>0</v>
      </c>
    </row>
    <row r="168" spans="1:18" x14ac:dyDescent="0.3">
      <c r="A168" s="80">
        <v>1.0679999999999925</v>
      </c>
      <c r="B168" s="59" t="s">
        <v>5</v>
      </c>
      <c r="C168" s="59" t="s">
        <v>70</v>
      </c>
      <c r="D168" s="118">
        <v>26</v>
      </c>
      <c r="E168" s="118">
        <v>19</v>
      </c>
      <c r="F168" s="59"/>
      <c r="G168" s="59" t="s">
        <v>415</v>
      </c>
      <c r="H168" s="60">
        <f>IF(B168="Projects","N/A",IF(B168="Served","N/A",('Cost Basis'!E$3+('Cost Basis'!C$3*Model!D168))*(1+'Cost Basis'!F$3)))</f>
        <v>379500.00000000006</v>
      </c>
      <c r="I168" s="124" t="s">
        <v>442</v>
      </c>
      <c r="J168" s="88" t="s">
        <v>403</v>
      </c>
      <c r="K168" s="61">
        <v>0</v>
      </c>
      <c r="L168" s="62" t="str">
        <f>IF(K168=0,"N/A",(LOOKUP(I168,'Cost Basis'!A$4:A$15,'Cost Basis'!E$4:E$15)+IF(LOOKUP(Model!I168,'Cost Basis'!A$4:A$11)=I168,LOOKUP(Model!I168,'Cost Basis'!A$4:A$11,'Cost Basis'!C$4:C$11)*Model!K168*(1+LOOKUP(I168,'Cost Basis'!A$4:A$15,'Cost Basis'!F$3:F$15)),LOOKUP(Model!I168,'Cost Basis'!A$4:A$15,'Cost Basis'!C$4:C$15)*ROUNDUP(Model!K168/5280/30,0))*(1+LOOKUP(I168,'Cost Basis'!A$4:A$15,'Cost Basis'!F$4:F$15))))</f>
        <v>N/A</v>
      </c>
      <c r="M168" s="264">
        <f t="shared" si="12"/>
        <v>379500.00000000006</v>
      </c>
      <c r="N168" s="64" t="s">
        <v>631</v>
      </c>
      <c r="O168" s="253" t="s">
        <v>991</v>
      </c>
      <c r="P168" s="69"/>
      <c r="Q168" s="2">
        <f t="shared" si="11"/>
        <v>1</v>
      </c>
      <c r="R168" s="221">
        <f t="shared" si="10"/>
        <v>0</v>
      </c>
    </row>
    <row r="169" spans="1:18" x14ac:dyDescent="0.3">
      <c r="A169" s="80">
        <v>1.0689999999999924</v>
      </c>
      <c r="B169" s="59" t="s">
        <v>5</v>
      </c>
      <c r="C169" s="59" t="s">
        <v>71</v>
      </c>
      <c r="D169" s="118">
        <v>54</v>
      </c>
      <c r="E169" s="118">
        <v>19</v>
      </c>
      <c r="F169" s="59"/>
      <c r="G169" s="59" t="s">
        <v>415</v>
      </c>
      <c r="H169" s="60">
        <f>IF(B169="Projects","N/A",IF(B169="Served","N/A",('Cost Basis'!E$3+('Cost Basis'!C$3*Model!D169))*(1+'Cost Basis'!F$3)))</f>
        <v>610500</v>
      </c>
      <c r="I169" s="124" t="s">
        <v>442</v>
      </c>
      <c r="J169" s="88" t="s">
        <v>403</v>
      </c>
      <c r="K169" s="61">
        <v>0</v>
      </c>
      <c r="L169" s="62" t="str">
        <f>IF(K169=0,"N/A",(LOOKUP(I169,'Cost Basis'!A$4:A$15,'Cost Basis'!E$4:E$15)+IF(LOOKUP(Model!I169,'Cost Basis'!A$4:A$11)=I169,LOOKUP(Model!I169,'Cost Basis'!A$4:A$11,'Cost Basis'!C$4:C$11)*Model!K169*(1+LOOKUP(I169,'Cost Basis'!A$4:A$15,'Cost Basis'!F$3:F$15)),LOOKUP(Model!I169,'Cost Basis'!A$4:A$15,'Cost Basis'!C$4:C$15)*ROUNDUP(Model!K169/5280/30,0))*(1+LOOKUP(I169,'Cost Basis'!A$4:A$15,'Cost Basis'!F$4:F$15))))</f>
        <v>N/A</v>
      </c>
      <c r="M169" s="264">
        <f t="shared" si="12"/>
        <v>610500</v>
      </c>
      <c r="N169" s="64" t="s">
        <v>634</v>
      </c>
      <c r="O169" s="253" t="s">
        <v>991</v>
      </c>
      <c r="P169" s="69"/>
      <c r="Q169" s="2">
        <f t="shared" si="11"/>
        <v>1</v>
      </c>
      <c r="R169" s="221">
        <f t="shared" si="10"/>
        <v>0</v>
      </c>
    </row>
    <row r="170" spans="1:18" x14ac:dyDescent="0.3">
      <c r="A170" s="80">
        <v>1.0749999999999917</v>
      </c>
      <c r="B170" s="59" t="s">
        <v>5</v>
      </c>
      <c r="C170" s="59" t="s">
        <v>77</v>
      </c>
      <c r="D170" s="118">
        <v>59</v>
      </c>
      <c r="E170" s="118">
        <v>47</v>
      </c>
      <c r="F170" s="59"/>
      <c r="G170" s="59" t="s">
        <v>415</v>
      </c>
      <c r="H170" s="60">
        <f>IF(B170="Projects","N/A",IF(B170="Served","N/A",('Cost Basis'!E$3+('Cost Basis'!C$3*Model!D170))*(1+'Cost Basis'!F$3)))</f>
        <v>651750</v>
      </c>
      <c r="I170" s="124" t="s">
        <v>442</v>
      </c>
      <c r="J170" s="88" t="s">
        <v>403</v>
      </c>
      <c r="K170" s="61">
        <v>0</v>
      </c>
      <c r="L170" s="62" t="str">
        <f>IF(K170=0,"N/A",(LOOKUP(I170,'Cost Basis'!A$4:A$15,'Cost Basis'!E$4:E$15)+IF(LOOKUP(Model!I170,'Cost Basis'!A$4:A$11)=I170,LOOKUP(Model!I170,'Cost Basis'!A$4:A$11,'Cost Basis'!C$4:C$11)*Model!K170*(1+LOOKUP(I170,'Cost Basis'!A$4:A$15,'Cost Basis'!F$3:F$15)),LOOKUP(Model!I170,'Cost Basis'!A$4:A$15,'Cost Basis'!C$4:C$15)*ROUNDUP(Model!K170/5280/30,0))*(1+LOOKUP(I170,'Cost Basis'!A$4:A$15,'Cost Basis'!F$4:F$15))))</f>
        <v>N/A</v>
      </c>
      <c r="M170" s="264">
        <f t="shared" si="12"/>
        <v>651750</v>
      </c>
      <c r="N170" s="64" t="s">
        <v>632</v>
      </c>
      <c r="O170" s="253" t="s">
        <v>991</v>
      </c>
      <c r="P170" s="69"/>
      <c r="Q170" s="2">
        <f t="shared" si="11"/>
        <v>1</v>
      </c>
      <c r="R170" s="221">
        <f t="shared" si="10"/>
        <v>0</v>
      </c>
    </row>
    <row r="171" spans="1:18" x14ac:dyDescent="0.3">
      <c r="A171" s="80">
        <v>1.0849999999999906</v>
      </c>
      <c r="B171" s="59" t="s">
        <v>5</v>
      </c>
      <c r="C171" s="59" t="s">
        <v>87</v>
      </c>
      <c r="D171" s="118">
        <v>54</v>
      </c>
      <c r="E171" s="118">
        <v>43</v>
      </c>
      <c r="F171" s="59"/>
      <c r="G171" s="59" t="s">
        <v>415</v>
      </c>
      <c r="H171" s="60">
        <f>IF(B171="Projects","N/A",IF(B171="Served","N/A",('Cost Basis'!E$3+('Cost Basis'!C$3*Model!D171))*(1+'Cost Basis'!F$3)))</f>
        <v>610500</v>
      </c>
      <c r="I171" s="124" t="s">
        <v>442</v>
      </c>
      <c r="J171" s="88" t="s">
        <v>403</v>
      </c>
      <c r="K171" s="61">
        <v>0</v>
      </c>
      <c r="L171" s="62" t="str">
        <f>IF(K171=0,"N/A",(LOOKUP(I171,'Cost Basis'!A$4:A$15,'Cost Basis'!E$4:E$15)+IF(LOOKUP(Model!I171,'Cost Basis'!A$4:A$11)=I171,LOOKUP(Model!I171,'Cost Basis'!A$4:A$11,'Cost Basis'!C$4:C$11)*Model!K171*(1+LOOKUP(I171,'Cost Basis'!A$4:A$15,'Cost Basis'!F$3:F$15)),LOOKUP(Model!I171,'Cost Basis'!A$4:A$15,'Cost Basis'!C$4:C$15)*ROUNDUP(Model!K171/5280/30,0))*(1+LOOKUP(I171,'Cost Basis'!A$4:A$15,'Cost Basis'!F$4:F$15))))</f>
        <v>N/A</v>
      </c>
      <c r="M171" s="264">
        <f t="shared" si="12"/>
        <v>610500</v>
      </c>
      <c r="N171" s="64" t="s">
        <v>623</v>
      </c>
      <c r="O171" s="253" t="s">
        <v>996</v>
      </c>
      <c r="P171" s="69"/>
      <c r="Q171" s="2">
        <f t="shared" si="11"/>
        <v>1</v>
      </c>
      <c r="R171" s="221">
        <f t="shared" si="10"/>
        <v>0</v>
      </c>
    </row>
    <row r="172" spans="1:18" x14ac:dyDescent="0.3">
      <c r="A172" s="80">
        <v>1.0959999999999894</v>
      </c>
      <c r="B172" s="59" t="s">
        <v>5</v>
      </c>
      <c r="C172" s="59" t="s">
        <v>405</v>
      </c>
      <c r="D172" s="118">
        <v>14</v>
      </c>
      <c r="E172" s="118">
        <v>5</v>
      </c>
      <c r="F172" s="59"/>
      <c r="G172" s="59" t="s">
        <v>415</v>
      </c>
      <c r="H172" s="60">
        <f>IF(B172="Projects","N/A",IF(B172="Served","N/A",('Cost Basis'!E$3+('Cost Basis'!C$3*Model!D172))*(1+'Cost Basis'!F$3)))</f>
        <v>280500</v>
      </c>
      <c r="I172" s="124" t="s">
        <v>442</v>
      </c>
      <c r="J172" s="88" t="s">
        <v>403</v>
      </c>
      <c r="K172" s="61">
        <v>0</v>
      </c>
      <c r="L172" s="62" t="str">
        <f>IF(K172=0,"N/A",(LOOKUP(I172,'Cost Basis'!A$4:A$15,'Cost Basis'!E$4:E$15)+IF(LOOKUP(Model!I172,'Cost Basis'!A$4:A$11)=I172,LOOKUP(Model!I172,'Cost Basis'!A$4:A$11,'Cost Basis'!C$4:C$11)*Model!K172*(1+LOOKUP(I172,'Cost Basis'!A$4:A$15,'Cost Basis'!F$3:F$15)),LOOKUP(Model!I172,'Cost Basis'!A$4:A$15,'Cost Basis'!C$4:C$15)*ROUNDUP(Model!K172/5280/30,0))*(1+LOOKUP(I172,'Cost Basis'!A$4:A$15,'Cost Basis'!F$4:F$15))))</f>
        <v>N/A</v>
      </c>
      <c r="M172" s="264">
        <f t="shared" si="12"/>
        <v>280500</v>
      </c>
      <c r="N172" s="64" t="s">
        <v>635</v>
      </c>
      <c r="O172" s="253" t="s">
        <v>997</v>
      </c>
      <c r="P172" s="69"/>
      <c r="Q172" s="2">
        <f t="shared" si="11"/>
        <v>1</v>
      </c>
      <c r="R172" s="221">
        <f t="shared" si="10"/>
        <v>0</v>
      </c>
    </row>
    <row r="173" spans="1:18" x14ac:dyDescent="0.3">
      <c r="A173" s="80">
        <v>1.0919999999999899</v>
      </c>
      <c r="B173" s="59" t="s">
        <v>5</v>
      </c>
      <c r="C173" s="59" t="s">
        <v>94</v>
      </c>
      <c r="D173" s="118">
        <v>58</v>
      </c>
      <c r="E173" s="118">
        <v>25</v>
      </c>
      <c r="F173" s="59"/>
      <c r="G173" s="59" t="s">
        <v>415</v>
      </c>
      <c r="H173" s="60">
        <f>IF(B173="Projects","N/A",IF(B173="Served","N/A",('Cost Basis'!E$3+('Cost Basis'!C$3*Model!D173))*(1+'Cost Basis'!F$3)))</f>
        <v>643500</v>
      </c>
      <c r="I173" s="124" t="s">
        <v>442</v>
      </c>
      <c r="J173" s="88" t="s">
        <v>403</v>
      </c>
      <c r="K173" s="61">
        <v>0</v>
      </c>
      <c r="L173" s="62" t="str">
        <f>IF(K173=0,"N/A",(LOOKUP(I173,'Cost Basis'!A$4:A$15,'Cost Basis'!E$4:E$15)+IF(LOOKUP(Model!I173,'Cost Basis'!A$4:A$11)=I173,LOOKUP(Model!I173,'Cost Basis'!A$4:A$11,'Cost Basis'!C$4:C$11)*Model!K173*(1+LOOKUP(I173,'Cost Basis'!A$4:A$15,'Cost Basis'!F$3:F$15)),LOOKUP(Model!I173,'Cost Basis'!A$4:A$15,'Cost Basis'!C$4:C$15)*ROUNDUP(Model!K173/5280/30,0))*(1+LOOKUP(I173,'Cost Basis'!A$4:A$15,'Cost Basis'!F$4:F$15))))</f>
        <v>N/A</v>
      </c>
      <c r="M173" s="264">
        <f t="shared" si="12"/>
        <v>643500</v>
      </c>
      <c r="N173" s="64" t="s">
        <v>636</v>
      </c>
      <c r="O173" s="253" t="s">
        <v>997</v>
      </c>
      <c r="P173" s="69"/>
      <c r="Q173" s="2">
        <f t="shared" si="11"/>
        <v>1</v>
      </c>
      <c r="R173" s="221">
        <f t="shared" si="10"/>
        <v>0</v>
      </c>
    </row>
    <row r="174" spans="1:18" x14ac:dyDescent="0.3">
      <c r="A174" s="80">
        <v>1.0929999999999898</v>
      </c>
      <c r="B174" s="59" t="s">
        <v>5</v>
      </c>
      <c r="C174" s="59" t="s">
        <v>95</v>
      </c>
      <c r="D174" s="118">
        <v>131</v>
      </c>
      <c r="E174" s="118">
        <v>82</v>
      </c>
      <c r="F174" s="59"/>
      <c r="G174" s="59" t="s">
        <v>415</v>
      </c>
      <c r="H174" s="60">
        <f>IF(B174="Projects","N/A",IF(B174="Served","N/A",('Cost Basis'!E$3+('Cost Basis'!C$3*Model!D174))*(1+'Cost Basis'!F$3)))</f>
        <v>1245750</v>
      </c>
      <c r="I174" s="124" t="s">
        <v>442</v>
      </c>
      <c r="J174" s="88" t="s">
        <v>403</v>
      </c>
      <c r="K174" s="61">
        <v>0</v>
      </c>
      <c r="L174" s="62" t="str">
        <f>IF(K174=0,"N/A",(LOOKUP(I174,'Cost Basis'!A$4:A$15,'Cost Basis'!E$4:E$15)+IF(LOOKUP(Model!I174,'Cost Basis'!A$4:A$11)=I174,LOOKUP(Model!I174,'Cost Basis'!A$4:A$11,'Cost Basis'!C$4:C$11)*Model!K174*(1+LOOKUP(I174,'Cost Basis'!A$4:A$15,'Cost Basis'!F$3:F$15)),LOOKUP(Model!I174,'Cost Basis'!A$4:A$15,'Cost Basis'!C$4:C$15)*ROUNDUP(Model!K174/5280/30,0))*(1+LOOKUP(I174,'Cost Basis'!A$4:A$15,'Cost Basis'!F$4:F$15))))</f>
        <v>N/A</v>
      </c>
      <c r="M174" s="264">
        <f t="shared" si="12"/>
        <v>1245750</v>
      </c>
      <c r="N174" s="64" t="s">
        <v>637</v>
      </c>
      <c r="O174" s="253" t="s">
        <v>997</v>
      </c>
      <c r="P174" s="69"/>
      <c r="Q174" s="2">
        <f t="shared" si="11"/>
        <v>1</v>
      </c>
      <c r="R174" s="221">
        <f t="shared" si="10"/>
        <v>0</v>
      </c>
    </row>
    <row r="175" spans="1:18" x14ac:dyDescent="0.3">
      <c r="A175" s="80">
        <v>1.0979999999999892</v>
      </c>
      <c r="B175" s="59" t="s">
        <v>5</v>
      </c>
      <c r="C175" s="59" t="s">
        <v>99</v>
      </c>
      <c r="D175" s="118">
        <v>182</v>
      </c>
      <c r="E175" s="118">
        <v>86</v>
      </c>
      <c r="F175" s="59"/>
      <c r="G175" s="59" t="s">
        <v>415</v>
      </c>
      <c r="H175" s="60">
        <f>IF(B175="Projects","N/A",IF(B175="Served","N/A",('Cost Basis'!E$3+('Cost Basis'!C$3*Model!D175))*(1+'Cost Basis'!F$3)))</f>
        <v>1666500.0000000002</v>
      </c>
      <c r="I175" s="124" t="s">
        <v>442</v>
      </c>
      <c r="J175" s="88" t="s">
        <v>403</v>
      </c>
      <c r="K175" s="61">
        <v>0</v>
      </c>
      <c r="L175" s="62" t="str">
        <f>IF(K175=0,"N/A",(LOOKUP(I175,'Cost Basis'!A$4:A$15,'Cost Basis'!E$4:E$15)+IF(LOOKUP(Model!I175,'Cost Basis'!A$4:A$11)=I175,LOOKUP(Model!I175,'Cost Basis'!A$4:A$11,'Cost Basis'!C$4:C$11)*Model!K175*(1+LOOKUP(I175,'Cost Basis'!A$4:A$15,'Cost Basis'!F$3:F$15)),LOOKUP(Model!I175,'Cost Basis'!A$4:A$15,'Cost Basis'!C$4:C$15)*ROUNDUP(Model!K175/5280/30,0))*(1+LOOKUP(I175,'Cost Basis'!A$4:A$15,'Cost Basis'!F$4:F$15))))</f>
        <v>N/A</v>
      </c>
      <c r="M175" s="264">
        <f t="shared" si="12"/>
        <v>1666500.0000000002</v>
      </c>
      <c r="N175" s="64" t="s">
        <v>638</v>
      </c>
      <c r="O175" s="253" t="s">
        <v>995</v>
      </c>
      <c r="P175" s="69"/>
      <c r="Q175" s="2">
        <f t="shared" si="11"/>
        <v>1</v>
      </c>
      <c r="R175" s="221">
        <f t="shared" si="10"/>
        <v>0</v>
      </c>
    </row>
    <row r="176" spans="1:18" x14ac:dyDescent="0.3">
      <c r="A176" s="80">
        <v>1.1009988879999999</v>
      </c>
      <c r="B176" s="59" t="s">
        <v>5</v>
      </c>
      <c r="C176" s="59" t="s">
        <v>639</v>
      </c>
      <c r="D176" s="118">
        <v>27</v>
      </c>
      <c r="E176" s="118">
        <v>27</v>
      </c>
      <c r="F176" s="59"/>
      <c r="G176" s="59" t="s">
        <v>415</v>
      </c>
      <c r="H176" s="60">
        <f>IF(B176="Projects","N/A",IF(B176="Served","N/A",('Cost Basis'!E$3+('Cost Basis'!C$3*Model!D176))*(1+'Cost Basis'!F$3)))</f>
        <v>387750.00000000006</v>
      </c>
      <c r="I176" s="124" t="s">
        <v>442</v>
      </c>
      <c r="J176" s="88" t="s">
        <v>403</v>
      </c>
      <c r="K176" s="61">
        <v>0</v>
      </c>
      <c r="L176" s="62" t="str">
        <f>IF(K176=0,"N/A",(LOOKUP(I176,'Cost Basis'!A$4:A$15,'Cost Basis'!E$4:E$15)+IF(LOOKUP(Model!I176,'Cost Basis'!A$4:A$11)=I176,LOOKUP(Model!I176,'Cost Basis'!A$4:A$11,'Cost Basis'!C$4:C$11)*Model!K176*(1+LOOKUP(I176,'Cost Basis'!A$4:A$15,'Cost Basis'!F$3:F$15)),LOOKUP(Model!I176,'Cost Basis'!A$4:A$15,'Cost Basis'!C$4:C$15)*ROUNDUP(Model!K176/5280/30,0))*(1+LOOKUP(I176,'Cost Basis'!A$4:A$15,'Cost Basis'!F$4:F$15))))</f>
        <v>N/A</v>
      </c>
      <c r="M176" s="264">
        <f t="shared" si="12"/>
        <v>387750.00000000006</v>
      </c>
      <c r="N176" s="64" t="s">
        <v>640</v>
      </c>
      <c r="O176" s="253" t="s">
        <v>997</v>
      </c>
      <c r="P176" s="69"/>
      <c r="Q176" s="2">
        <f t="shared" si="11"/>
        <v>1</v>
      </c>
      <c r="R176" s="221">
        <f t="shared" si="10"/>
        <v>0</v>
      </c>
    </row>
    <row r="177" spans="1:19" x14ac:dyDescent="0.3">
      <c r="A177" s="80">
        <v>1.1079999999999881</v>
      </c>
      <c r="B177" s="59" t="s">
        <v>5</v>
      </c>
      <c r="C177" s="59" t="s">
        <v>109</v>
      </c>
      <c r="D177" s="118">
        <v>103</v>
      </c>
      <c r="E177" s="118">
        <v>41</v>
      </c>
      <c r="F177" s="59"/>
      <c r="G177" s="59" t="s">
        <v>415</v>
      </c>
      <c r="H177" s="60">
        <f>IF(B177="Projects","N/A",IF(B177="Served","N/A",('Cost Basis'!E$3+('Cost Basis'!C$3*Model!D177))*(1+'Cost Basis'!F$3)))</f>
        <v>1014750.0000000001</v>
      </c>
      <c r="I177" s="124" t="s">
        <v>442</v>
      </c>
      <c r="J177" s="88" t="s">
        <v>403</v>
      </c>
      <c r="K177" s="61">
        <v>0</v>
      </c>
      <c r="L177" s="62" t="str">
        <f>IF(K177=0,"N/A",(LOOKUP(I177,'Cost Basis'!A$4:A$15,'Cost Basis'!E$4:E$15)+IF(LOOKUP(Model!I177,'Cost Basis'!A$4:A$11)=I177,LOOKUP(Model!I177,'Cost Basis'!A$4:A$11,'Cost Basis'!C$4:C$11)*Model!K177*(1+LOOKUP(I177,'Cost Basis'!A$4:A$15,'Cost Basis'!F$3:F$15)),LOOKUP(Model!I177,'Cost Basis'!A$4:A$15,'Cost Basis'!C$4:C$15)*ROUNDUP(Model!K177/5280/30,0))*(1+LOOKUP(I177,'Cost Basis'!A$4:A$15,'Cost Basis'!F$4:F$15))))</f>
        <v>N/A</v>
      </c>
      <c r="M177" s="264">
        <f t="shared" si="12"/>
        <v>1014750.0000000001</v>
      </c>
      <c r="N177" s="64" t="s">
        <v>641</v>
      </c>
      <c r="O177" s="253" t="s">
        <v>991</v>
      </c>
      <c r="P177" s="69"/>
      <c r="Q177" s="2">
        <f t="shared" si="11"/>
        <v>1</v>
      </c>
      <c r="R177" s="221">
        <f t="shared" si="10"/>
        <v>0</v>
      </c>
    </row>
    <row r="178" spans="1:19" x14ac:dyDescent="0.3">
      <c r="A178" s="80">
        <v>1.126999999999986</v>
      </c>
      <c r="B178" s="59" t="s">
        <v>5</v>
      </c>
      <c r="C178" s="59" t="s">
        <v>128</v>
      </c>
      <c r="D178" s="118">
        <v>237</v>
      </c>
      <c r="E178" s="118">
        <v>0</v>
      </c>
      <c r="F178" s="59"/>
      <c r="G178" s="59" t="s">
        <v>415</v>
      </c>
      <c r="H178" s="60">
        <f>IF(B178="Projects","N/A",IF(B178="Served","N/A",('Cost Basis'!E$3+('Cost Basis'!C$3*Model!D178))*(1+'Cost Basis'!F$3)))</f>
        <v>2120250</v>
      </c>
      <c r="I178" s="124" t="s">
        <v>442</v>
      </c>
      <c r="J178" s="88" t="s">
        <v>403</v>
      </c>
      <c r="K178" s="61">
        <v>0</v>
      </c>
      <c r="L178" s="62" t="str">
        <f>IF(K178=0,"N/A",(LOOKUP(I178,'Cost Basis'!A$4:A$15,'Cost Basis'!E$4:E$15)+IF(LOOKUP(Model!I178,'Cost Basis'!A$4:A$11)=I178,LOOKUP(Model!I178,'Cost Basis'!A$4:A$11,'Cost Basis'!C$4:C$11)*Model!K178*(1+LOOKUP(I178,'Cost Basis'!A$4:A$15,'Cost Basis'!F$3:F$15)),LOOKUP(Model!I178,'Cost Basis'!A$4:A$15,'Cost Basis'!C$4:C$15)*ROUNDUP(Model!K178/5280/30,0))*(1+LOOKUP(I178,'Cost Basis'!A$4:A$15,'Cost Basis'!F$4:F$15))))</f>
        <v>N/A</v>
      </c>
      <c r="M178" s="264">
        <f t="shared" si="12"/>
        <v>2120250</v>
      </c>
      <c r="N178" s="64" t="s">
        <v>642</v>
      </c>
      <c r="O178" s="253" t="s">
        <v>997</v>
      </c>
      <c r="P178" s="69"/>
      <c r="Q178" s="2">
        <f t="shared" si="11"/>
        <v>1</v>
      </c>
      <c r="R178" s="221">
        <f t="shared" si="10"/>
        <v>0</v>
      </c>
    </row>
    <row r="179" spans="1:19" x14ac:dyDescent="0.3">
      <c r="A179" s="80">
        <v>1.1279999999999859</v>
      </c>
      <c r="B179" s="59" t="s">
        <v>5</v>
      </c>
      <c r="C179" s="59" t="s">
        <v>129</v>
      </c>
      <c r="D179" s="118">
        <v>36</v>
      </c>
      <c r="E179" s="118">
        <v>12</v>
      </c>
      <c r="F179" s="59"/>
      <c r="G179" s="59" t="s">
        <v>415</v>
      </c>
      <c r="H179" s="60">
        <f>IF(B179="Projects","N/A",IF(B179="Served","N/A",('Cost Basis'!E$3+('Cost Basis'!C$3*Model!D179))*(1+'Cost Basis'!F$3)))</f>
        <v>462000.00000000006</v>
      </c>
      <c r="I179" s="124" t="s">
        <v>442</v>
      </c>
      <c r="J179" s="88" t="s">
        <v>403</v>
      </c>
      <c r="K179" s="61">
        <v>0</v>
      </c>
      <c r="L179" s="62" t="str">
        <f>IF(K179=0,"N/A",(LOOKUP(I179,'Cost Basis'!A$4:A$15,'Cost Basis'!E$4:E$15)+IF(LOOKUP(Model!I179,'Cost Basis'!A$4:A$11)=I179,LOOKUP(Model!I179,'Cost Basis'!A$4:A$11,'Cost Basis'!C$4:C$11)*Model!K179*(1+LOOKUP(I179,'Cost Basis'!A$4:A$15,'Cost Basis'!F$3:F$15)),LOOKUP(Model!I179,'Cost Basis'!A$4:A$15,'Cost Basis'!C$4:C$15)*ROUNDUP(Model!K179/5280/30,0))*(1+LOOKUP(I179,'Cost Basis'!A$4:A$15,'Cost Basis'!F$4:F$15))))</f>
        <v>N/A</v>
      </c>
      <c r="M179" s="264">
        <f t="shared" si="12"/>
        <v>462000.00000000006</v>
      </c>
      <c r="N179" s="64" t="s">
        <v>643</v>
      </c>
      <c r="O179" s="253" t="s">
        <v>991</v>
      </c>
      <c r="P179" s="69"/>
      <c r="Q179" s="2">
        <f t="shared" si="11"/>
        <v>1</v>
      </c>
      <c r="R179" s="221">
        <f t="shared" si="10"/>
        <v>0</v>
      </c>
    </row>
    <row r="180" spans="1:19" x14ac:dyDescent="0.3">
      <c r="A180" s="80">
        <v>1.1369999999999849</v>
      </c>
      <c r="B180" s="59" t="s">
        <v>5</v>
      </c>
      <c r="C180" s="59" t="s">
        <v>138</v>
      </c>
      <c r="D180" s="118">
        <v>68</v>
      </c>
      <c r="E180" s="118">
        <v>31</v>
      </c>
      <c r="F180" s="59"/>
      <c r="G180" s="59" t="s">
        <v>415</v>
      </c>
      <c r="H180" s="60">
        <f>IF(B180="Projects","N/A",IF(B180="Served","N/A",('Cost Basis'!E$3+('Cost Basis'!C$3*Model!D180))*(1+'Cost Basis'!F$3)))</f>
        <v>726000.00000000012</v>
      </c>
      <c r="I180" s="124" t="s">
        <v>442</v>
      </c>
      <c r="J180" s="88" t="s">
        <v>403</v>
      </c>
      <c r="K180" s="61">
        <v>0</v>
      </c>
      <c r="L180" s="62" t="str">
        <f>IF(K180=0,"N/A",(LOOKUP(I180,'Cost Basis'!A$4:A$15,'Cost Basis'!E$4:E$15)+IF(LOOKUP(Model!I180,'Cost Basis'!A$4:A$11)=I180,LOOKUP(Model!I180,'Cost Basis'!A$4:A$11,'Cost Basis'!C$4:C$11)*Model!K180*(1+LOOKUP(I180,'Cost Basis'!A$4:A$15,'Cost Basis'!F$3:F$15)),LOOKUP(Model!I180,'Cost Basis'!A$4:A$15,'Cost Basis'!C$4:C$15)*ROUNDUP(Model!K180/5280/30,0))*(1+LOOKUP(I180,'Cost Basis'!A$4:A$15,'Cost Basis'!F$4:F$15))))</f>
        <v>N/A</v>
      </c>
      <c r="M180" s="264">
        <f t="shared" si="12"/>
        <v>726000.00000000012</v>
      </c>
      <c r="N180" s="64" t="s">
        <v>644</v>
      </c>
      <c r="O180" s="253" t="s">
        <v>991</v>
      </c>
      <c r="P180" s="69"/>
      <c r="Q180" s="2">
        <f t="shared" si="11"/>
        <v>1</v>
      </c>
      <c r="R180" s="221">
        <f t="shared" si="10"/>
        <v>0</v>
      </c>
    </row>
    <row r="181" spans="1:19" x14ac:dyDescent="0.3">
      <c r="A181" s="80">
        <v>1.1429999999999843</v>
      </c>
      <c r="B181" s="59" t="s">
        <v>5</v>
      </c>
      <c r="C181" s="59" t="s">
        <v>144</v>
      </c>
      <c r="D181" s="118">
        <v>91</v>
      </c>
      <c r="E181" s="118">
        <v>54</v>
      </c>
      <c r="F181" s="59"/>
      <c r="G181" s="59" t="s">
        <v>415</v>
      </c>
      <c r="H181" s="60">
        <f>IF(B181="Projects","N/A",IF(B181="Served","N/A",('Cost Basis'!E$3+('Cost Basis'!C$3*Model!D181))*(1+'Cost Basis'!F$3)))</f>
        <v>915750.00000000012</v>
      </c>
      <c r="I181" s="124" t="s">
        <v>442</v>
      </c>
      <c r="J181" s="88" t="s">
        <v>403</v>
      </c>
      <c r="K181" s="61">
        <v>0</v>
      </c>
      <c r="L181" s="62" t="str">
        <f>IF(K181=0,"N/A",(LOOKUP(I181,'Cost Basis'!A$4:A$15,'Cost Basis'!E$4:E$15)+IF(LOOKUP(Model!I181,'Cost Basis'!A$4:A$11)=I181,LOOKUP(Model!I181,'Cost Basis'!A$4:A$11,'Cost Basis'!C$4:C$11)*Model!K181*(1+LOOKUP(I181,'Cost Basis'!A$4:A$15,'Cost Basis'!F$3:F$15)),LOOKUP(Model!I181,'Cost Basis'!A$4:A$15,'Cost Basis'!C$4:C$15)*ROUNDUP(Model!K181/5280/30,0))*(1+LOOKUP(I181,'Cost Basis'!A$4:A$15,'Cost Basis'!F$4:F$15))))</f>
        <v>N/A</v>
      </c>
      <c r="M181" s="264">
        <f t="shared" si="12"/>
        <v>915750.00000000012</v>
      </c>
      <c r="N181" s="64" t="s">
        <v>645</v>
      </c>
      <c r="O181" s="253" t="s">
        <v>995</v>
      </c>
      <c r="P181" s="69"/>
      <c r="Q181" s="2">
        <f t="shared" si="11"/>
        <v>1</v>
      </c>
      <c r="R181" s="221">
        <f t="shared" si="10"/>
        <v>0</v>
      </c>
    </row>
    <row r="182" spans="1:19" x14ac:dyDescent="0.3">
      <c r="A182" s="80">
        <v>1.1439999999999841</v>
      </c>
      <c r="B182" s="59" t="s">
        <v>5</v>
      </c>
      <c r="C182" s="59" t="s">
        <v>145</v>
      </c>
      <c r="D182" s="118">
        <v>10</v>
      </c>
      <c r="E182" s="118">
        <v>10</v>
      </c>
      <c r="F182" s="59"/>
      <c r="G182" s="59" t="s">
        <v>415</v>
      </c>
      <c r="H182" s="60">
        <f>IF(B182="Projects","N/A",IF(B182="Served","N/A",('Cost Basis'!E$3+('Cost Basis'!C$3*Model!D182))*(1+'Cost Basis'!F$3)))</f>
        <v>247500.00000000003</v>
      </c>
      <c r="I182" s="123" t="s">
        <v>414</v>
      </c>
      <c r="J182" s="59" t="s">
        <v>469</v>
      </c>
      <c r="K182" s="61">
        <v>6000</v>
      </c>
      <c r="L182" s="62">
        <f ca="1">IF(K182=0,"N/A",(LOOKUP(I182,'Cost Basis'!A$4:A$15,'Cost Basis'!E$4:E$15)+IF(LOOKUP(Model!I182,'Cost Basis'!A$4:A$11)=I182,LOOKUP(Model!I182,'Cost Basis'!A$4:A$11,'Cost Basis'!C$4:C$11)*Model!K182*(1+LOOKUP(I182,'Cost Basis'!A$4:A$15,'Cost Basis'!F$3:F$15)),LOOKUP(Model!I182,'Cost Basis'!A$4:A$15,'Cost Basis'!C$4:C$15)*ROUNDUP(Model!K182/5280/30,0))*(1+LOOKUP(I182,'Cost Basis'!A$4:A$15,'Cost Basis'!F$4:F$15))))</f>
        <v>1584240</v>
      </c>
      <c r="M182" s="264">
        <f ca="1">IF(L182="N/A",H182,H182+L182)</f>
        <v>1831740</v>
      </c>
      <c r="N182" s="64" t="s">
        <v>646</v>
      </c>
      <c r="O182" s="253" t="s">
        <v>995</v>
      </c>
      <c r="P182" s="69"/>
      <c r="Q182" s="2">
        <f t="shared" si="11"/>
        <v>1</v>
      </c>
      <c r="R182" s="221">
        <f t="shared" si="10"/>
        <v>1.1363636363636365</v>
      </c>
    </row>
    <row r="183" spans="1:19" x14ac:dyDescent="0.3">
      <c r="A183" s="80">
        <v>1.1559999999999828</v>
      </c>
      <c r="B183" s="59" t="s">
        <v>5</v>
      </c>
      <c r="C183" s="59" t="s">
        <v>157</v>
      </c>
      <c r="D183" s="118">
        <v>207</v>
      </c>
      <c r="E183" s="118">
        <v>12</v>
      </c>
      <c r="F183" s="59"/>
      <c r="G183" s="59" t="s">
        <v>415</v>
      </c>
      <c r="H183" s="60">
        <f>IF(B183="Projects","N/A",IF(B183="Served","N/A",('Cost Basis'!E$3+('Cost Basis'!C$3*Model!D183))*(1+'Cost Basis'!F$3)))</f>
        <v>1872750.0000000002</v>
      </c>
      <c r="I183" s="124" t="s">
        <v>442</v>
      </c>
      <c r="J183" s="88" t="s">
        <v>403</v>
      </c>
      <c r="K183" s="61">
        <v>0</v>
      </c>
      <c r="L183" s="62" t="str">
        <f>IF(K183=0,"N/A",(LOOKUP(I183,'Cost Basis'!A$4:A$15,'Cost Basis'!E$4:E$15)+IF(LOOKUP(Model!I183,'Cost Basis'!A$4:A$11)=I183,LOOKUP(Model!I183,'Cost Basis'!A$4:A$11,'Cost Basis'!C$4:C$11)*Model!K183*(1+LOOKUP(I183,'Cost Basis'!A$4:A$15,'Cost Basis'!F$3:F$15)),LOOKUP(Model!I183,'Cost Basis'!A$4:A$15,'Cost Basis'!C$4:C$15)*ROUNDUP(Model!K183/5280/30,0))*(1+LOOKUP(I183,'Cost Basis'!A$4:A$15,'Cost Basis'!F$4:F$15))))</f>
        <v>N/A</v>
      </c>
      <c r="M183" s="264">
        <f t="shared" si="12"/>
        <v>1872750.0000000002</v>
      </c>
      <c r="N183" s="64" t="s">
        <v>647</v>
      </c>
      <c r="O183" s="253" t="s">
        <v>997</v>
      </c>
      <c r="P183" s="69"/>
      <c r="Q183" s="2">
        <f t="shared" si="11"/>
        <v>1</v>
      </c>
      <c r="R183" s="221">
        <f t="shared" si="10"/>
        <v>0</v>
      </c>
    </row>
    <row r="184" spans="1:19" x14ac:dyDescent="0.3">
      <c r="A184" s="80">
        <v>1.1659999999999817</v>
      </c>
      <c r="B184" s="59" t="s">
        <v>5</v>
      </c>
      <c r="C184" s="59" t="s">
        <v>167</v>
      </c>
      <c r="D184" s="118">
        <v>60</v>
      </c>
      <c r="E184" s="118">
        <v>25</v>
      </c>
      <c r="F184" s="59"/>
      <c r="G184" s="59" t="s">
        <v>415</v>
      </c>
      <c r="H184" s="60">
        <f>IF(B184="Projects","N/A",IF(B184="Served","N/A",('Cost Basis'!E$3+('Cost Basis'!C$3*Model!D184))*(1+'Cost Basis'!F$3)))</f>
        <v>660000</v>
      </c>
      <c r="I184" s="124" t="s">
        <v>442</v>
      </c>
      <c r="J184" s="88" t="s">
        <v>403</v>
      </c>
      <c r="K184" s="61">
        <v>0</v>
      </c>
      <c r="L184" s="62" t="str">
        <f>IF(K184=0,"N/A",(LOOKUP(I184,'Cost Basis'!A$4:A$15,'Cost Basis'!E$4:E$15)+IF(LOOKUP(Model!I184,'Cost Basis'!A$4:A$11)=I184,LOOKUP(Model!I184,'Cost Basis'!A$4:A$11,'Cost Basis'!C$4:C$11)*Model!K184*(1+LOOKUP(I184,'Cost Basis'!A$4:A$15,'Cost Basis'!F$3:F$15)),LOOKUP(Model!I184,'Cost Basis'!A$4:A$15,'Cost Basis'!C$4:C$15)*ROUNDUP(Model!K184/5280/30,0))*(1+LOOKUP(I184,'Cost Basis'!A$4:A$15,'Cost Basis'!F$4:F$15))))</f>
        <v>N/A</v>
      </c>
      <c r="M184" s="264">
        <f t="shared" si="12"/>
        <v>660000</v>
      </c>
      <c r="N184" s="64" t="s">
        <v>648</v>
      </c>
      <c r="O184" s="253" t="s">
        <v>993</v>
      </c>
      <c r="P184" s="69" t="s">
        <v>959</v>
      </c>
      <c r="Q184" s="2">
        <f t="shared" si="11"/>
        <v>1</v>
      </c>
      <c r="R184" s="221">
        <f t="shared" si="10"/>
        <v>0</v>
      </c>
    </row>
    <row r="185" spans="1:19" x14ac:dyDescent="0.3">
      <c r="A185" s="80">
        <v>1.1829999999999798</v>
      </c>
      <c r="B185" s="59" t="s">
        <v>5</v>
      </c>
      <c r="C185" s="59" t="s">
        <v>183</v>
      </c>
      <c r="D185" s="118">
        <v>366</v>
      </c>
      <c r="E185" s="118">
        <v>231</v>
      </c>
      <c r="F185" s="59"/>
      <c r="G185" s="59" t="s">
        <v>415</v>
      </c>
      <c r="H185" s="60">
        <f>IF(B185="Projects","N/A",IF(B185="Served","N/A",('Cost Basis'!E$3+('Cost Basis'!C$3*Model!D185))*(1+'Cost Basis'!F$3)))</f>
        <v>3184500.0000000005</v>
      </c>
      <c r="I185" s="124" t="s">
        <v>442</v>
      </c>
      <c r="J185" s="88" t="s">
        <v>403</v>
      </c>
      <c r="K185" s="61">
        <v>0</v>
      </c>
      <c r="L185" s="62" t="str">
        <f>IF(K185=0,"N/A",(LOOKUP(I185,'Cost Basis'!A$4:A$15,'Cost Basis'!E$4:E$15)+IF(LOOKUP(Model!I185,'Cost Basis'!A$4:A$11)=I185,LOOKUP(Model!I185,'Cost Basis'!A$4:A$11,'Cost Basis'!C$4:C$11)*Model!K185*(1+LOOKUP(I185,'Cost Basis'!A$4:A$15,'Cost Basis'!F$3:F$15)),LOOKUP(Model!I185,'Cost Basis'!A$4:A$15,'Cost Basis'!C$4:C$15)*ROUNDUP(Model!K185/5280/30,0))*(1+LOOKUP(I185,'Cost Basis'!A$4:A$15,'Cost Basis'!F$4:F$15))))</f>
        <v>N/A</v>
      </c>
      <c r="M185" s="264">
        <f t="shared" si="12"/>
        <v>3184500.0000000005</v>
      </c>
      <c r="N185" s="64" t="s">
        <v>650</v>
      </c>
      <c r="O185" s="253" t="s">
        <v>996</v>
      </c>
      <c r="P185" s="69"/>
      <c r="Q185" s="2">
        <f t="shared" si="11"/>
        <v>1</v>
      </c>
      <c r="R185" s="221">
        <f t="shared" si="10"/>
        <v>0</v>
      </c>
    </row>
    <row r="186" spans="1:19" ht="15" thickBot="1" x14ac:dyDescent="0.35">
      <c r="A186" s="108">
        <v>1.1859999999999795</v>
      </c>
      <c r="B186" s="72" t="s">
        <v>5</v>
      </c>
      <c r="C186" s="72" t="s">
        <v>186</v>
      </c>
      <c r="D186" s="120">
        <v>554</v>
      </c>
      <c r="E186" s="120">
        <v>152</v>
      </c>
      <c r="F186" s="72"/>
      <c r="G186" s="72" t="s">
        <v>415</v>
      </c>
      <c r="H186" s="74">
        <f>IF(B186="Projects","N/A",IF(B186="Served","N/A",('Cost Basis'!E$3+('Cost Basis'!C$3*Model!D186))*(1+'Cost Basis'!F$3)))</f>
        <v>4735500</v>
      </c>
      <c r="I186" s="124" t="s">
        <v>442</v>
      </c>
      <c r="J186" s="90" t="s">
        <v>403</v>
      </c>
      <c r="K186" s="75">
        <v>0</v>
      </c>
      <c r="L186" s="76" t="str">
        <f>IF(K186=0,"N/A",(LOOKUP(I186,'Cost Basis'!A$4:A$15,'Cost Basis'!E$4:E$15)+IF(LOOKUP(Model!I186,'Cost Basis'!A$4:A$11)=I186,LOOKUP(Model!I186,'Cost Basis'!A$4:A$11,'Cost Basis'!C$4:C$11)*Model!K186*(1+LOOKUP(I186,'Cost Basis'!A$4:A$15,'Cost Basis'!F$3:F$15)),LOOKUP(Model!I186,'Cost Basis'!A$4:A$15,'Cost Basis'!C$4:C$15)*ROUNDUP(Model!K186/5280/30,0))*(1+LOOKUP(I186,'Cost Basis'!A$4:A$15,'Cost Basis'!F$4:F$15))))</f>
        <v>N/A</v>
      </c>
      <c r="M186" s="265">
        <f t="shared" si="12"/>
        <v>4735500</v>
      </c>
      <c r="N186" s="77" t="s">
        <v>617</v>
      </c>
      <c r="O186" s="254" t="s">
        <v>995</v>
      </c>
      <c r="P186" s="78"/>
      <c r="Q186" s="2">
        <f t="shared" si="11"/>
        <v>1</v>
      </c>
      <c r="R186" s="221">
        <f t="shared" si="10"/>
        <v>0</v>
      </c>
    </row>
    <row r="187" spans="1:19" x14ac:dyDescent="0.3">
      <c r="A187" s="107">
        <v>1.0119999999999987</v>
      </c>
      <c r="B187" s="91" t="s">
        <v>5</v>
      </c>
      <c r="C187" s="91" t="s">
        <v>17</v>
      </c>
      <c r="D187" s="121">
        <v>-20</v>
      </c>
      <c r="E187" s="121"/>
      <c r="F187" s="91"/>
      <c r="G187" s="91" t="s">
        <v>415</v>
      </c>
      <c r="H187" s="106">
        <f>IF(B187="Projects","N/A",IF(B187="Served","N/A",('Cost Basis'!E$3+('Cost Basis'!C$3*Model!D187))*(1+'Cost Basis'!F$3)))</f>
        <v>0</v>
      </c>
      <c r="I187" s="125" t="s">
        <v>420</v>
      </c>
      <c r="J187" s="91"/>
      <c r="K187" s="95"/>
      <c r="L187" s="96" t="str">
        <f>IF(K187=0,"N/A",(LOOKUP(I187,'Cost Basis'!A$4:A$13,'Cost Basis'!E$4:E$13)+IF(LOOKUP(Model!I187,'Cost Basis'!A$4:A$11)=I187,LOOKUP(Model!I187,'Cost Basis'!A$4:A$11,'Cost Basis'!C$4:C$11)*Model!K187*(1+LOOKUP(I187,'Cost Basis'!A$4:A$13,'Cost Basis'!F$3:F$13)),LOOKUP(Model!I187,'Cost Basis'!A$4:A$13,'Cost Basis'!C$4:C$13)*ROUNDUP(Model!K187/5280/30,0))*(1+LOOKUP(I187,'Cost Basis'!A$4:A$13,'Cost Basis'!F$4:F$13))))</f>
        <v>N/A</v>
      </c>
      <c r="M187" s="263">
        <f t="shared" si="12"/>
        <v>0</v>
      </c>
      <c r="N187" s="97" t="s">
        <v>724</v>
      </c>
      <c r="O187" s="252" t="s">
        <v>992</v>
      </c>
      <c r="P187" s="98"/>
      <c r="Q187" s="2">
        <f>SUM(Q2:Q186)</f>
        <v>185</v>
      </c>
      <c r="R187" s="216">
        <f>Q187*'Cost Basis Detail'!E10</f>
        <v>44400000</v>
      </c>
      <c r="S187" s="217">
        <f ca="1">R187/M402</f>
        <v>2.3520525953307909E-2</v>
      </c>
    </row>
    <row r="188" spans="1:19" x14ac:dyDescent="0.3">
      <c r="A188" s="80">
        <v>1.0169999999999999</v>
      </c>
      <c r="B188" s="59" t="s">
        <v>5</v>
      </c>
      <c r="C188" s="59" t="s">
        <v>20</v>
      </c>
      <c r="D188" s="119">
        <v>-20</v>
      </c>
      <c r="E188" s="119"/>
      <c r="F188" s="59"/>
      <c r="G188" s="59" t="s">
        <v>415</v>
      </c>
      <c r="H188" s="60">
        <f>IF(B188="Projects","N/A",IF(B188="Served","N/A",('Cost Basis'!E$3+('Cost Basis'!C$3*Model!D188))*(1+'Cost Basis'!F$3)))</f>
        <v>0</v>
      </c>
      <c r="I188" s="124" t="s">
        <v>420</v>
      </c>
      <c r="J188" s="59"/>
      <c r="K188" s="61"/>
      <c r="L188" s="62" t="str">
        <f>IF(K188=0,"N/A",(LOOKUP(I188,'Cost Basis'!A$4:A$13,'Cost Basis'!E$4:E$13)+IF(LOOKUP(Model!I188,'Cost Basis'!A$4:A$11)=I188,LOOKUP(Model!I188,'Cost Basis'!A$4:A$11,'Cost Basis'!C$4:C$11)*Model!K188*(1+LOOKUP(I188,'Cost Basis'!A$4:A$13,'Cost Basis'!F$3:F$13)),LOOKUP(Model!I188,'Cost Basis'!A$4:A$13,'Cost Basis'!C$4:C$13)*ROUNDUP(Model!K188/5280/30,0))*(1+LOOKUP(I188,'Cost Basis'!A$4:A$13,'Cost Basis'!F$4:F$13))))</f>
        <v>N/A</v>
      </c>
      <c r="M188" s="264">
        <f t="shared" si="12"/>
        <v>0</v>
      </c>
      <c r="N188" s="64" t="s">
        <v>963</v>
      </c>
      <c r="O188" s="253" t="s">
        <v>993</v>
      </c>
      <c r="P188" s="69"/>
      <c r="R188" s="3">
        <f ca="1">1000000000*S187</f>
        <v>23520525.953307908</v>
      </c>
      <c r="S188" s="2" t="s">
        <v>984</v>
      </c>
    </row>
    <row r="189" spans="1:19" x14ac:dyDescent="0.3">
      <c r="A189" s="80">
        <v>1.017999999999998</v>
      </c>
      <c r="B189" s="59" t="s">
        <v>5</v>
      </c>
      <c r="C189" s="59" t="s">
        <v>21</v>
      </c>
      <c r="D189" s="119">
        <v>-20</v>
      </c>
      <c r="E189" s="119"/>
      <c r="F189" s="59"/>
      <c r="G189" s="59" t="s">
        <v>415</v>
      </c>
      <c r="H189" s="60">
        <f>IF(B189="Projects","N/A",IF(B189="Served","N/A",('Cost Basis'!E$3+('Cost Basis'!C$3*Model!D189))*(1+'Cost Basis'!F$3)))</f>
        <v>0</v>
      </c>
      <c r="I189" s="124" t="s">
        <v>420</v>
      </c>
      <c r="J189" s="59"/>
      <c r="K189" s="61"/>
      <c r="L189" s="62" t="str">
        <f>IF(K189=0,"N/A",(LOOKUP(I189,'Cost Basis'!A$4:A$13,'Cost Basis'!E$4:E$13)+IF(LOOKUP(Model!I189,'Cost Basis'!A$4:A$11)=I189,LOOKUP(Model!I189,'Cost Basis'!A$4:A$11,'Cost Basis'!C$4:C$11)*Model!K189*(1+LOOKUP(I189,'Cost Basis'!A$4:A$13,'Cost Basis'!F$3:F$13)),LOOKUP(Model!I189,'Cost Basis'!A$4:A$13,'Cost Basis'!C$4:C$13)*ROUNDUP(Model!K189/5280/30,0))*(1+LOOKUP(I189,'Cost Basis'!A$4:A$13,'Cost Basis'!F$4:F$13))))</f>
        <v>N/A</v>
      </c>
      <c r="M189" s="264">
        <f t="shared" si="12"/>
        <v>0</v>
      </c>
      <c r="N189" s="64" t="s">
        <v>964</v>
      </c>
      <c r="O189" s="253" t="s">
        <v>996</v>
      </c>
      <c r="P189" s="69"/>
    </row>
    <row r="190" spans="1:19" x14ac:dyDescent="0.3">
      <c r="A190" s="80">
        <v>1.0369999999999959</v>
      </c>
      <c r="B190" s="59" t="s">
        <v>5</v>
      </c>
      <c r="C190" s="59" t="s">
        <v>39</v>
      </c>
      <c r="D190" s="119">
        <v>-20</v>
      </c>
      <c r="E190" s="119"/>
      <c r="F190" s="59"/>
      <c r="G190" s="59" t="s">
        <v>415</v>
      </c>
      <c r="H190" s="60">
        <f>IF(B190="Projects","N/A",IF(B190="Served","N/A",('Cost Basis'!E$3+('Cost Basis'!C$3*Model!D190))*(1+'Cost Basis'!F$3)))</f>
        <v>0</v>
      </c>
      <c r="I190" s="124" t="s">
        <v>420</v>
      </c>
      <c r="J190" s="59"/>
      <c r="K190" s="61"/>
      <c r="L190" s="62" t="str">
        <f>IF(K190=0,"N/A",(LOOKUP(I190,'Cost Basis'!A$4:A$13,'Cost Basis'!E$4:E$13)+IF(LOOKUP(Model!I190,'Cost Basis'!A$4:A$11)=I190,LOOKUP(Model!I190,'Cost Basis'!A$4:A$11,'Cost Basis'!C$4:C$11)*Model!K190*(1+LOOKUP(I190,'Cost Basis'!A$4:A$13,'Cost Basis'!F$3:F$13)),LOOKUP(Model!I190,'Cost Basis'!A$4:A$13,'Cost Basis'!C$4:C$13)*ROUNDUP(Model!K190/5280/30,0))*(1+LOOKUP(I190,'Cost Basis'!A$4:A$13,'Cost Basis'!F$4:F$13))))</f>
        <v>N/A</v>
      </c>
      <c r="M190" s="264">
        <f t="shared" si="12"/>
        <v>0</v>
      </c>
      <c r="N190" s="64" t="s">
        <v>965</v>
      </c>
      <c r="O190" s="253" t="s">
        <v>997</v>
      </c>
      <c r="P190" s="69"/>
    </row>
    <row r="191" spans="1:19" x14ac:dyDescent="0.3">
      <c r="A191" s="80">
        <v>1.1129999999999876</v>
      </c>
      <c r="B191" s="59" t="s">
        <v>5</v>
      </c>
      <c r="C191" s="59" t="s">
        <v>999</v>
      </c>
      <c r="D191" s="119">
        <v>-20</v>
      </c>
      <c r="E191" s="119"/>
      <c r="F191" s="59"/>
      <c r="G191" s="59" t="s">
        <v>415</v>
      </c>
      <c r="H191" s="60">
        <f>IF(B191="Projects","N/A",IF(B191="Served","N/A",('Cost Basis'!E$3+('Cost Basis'!C$3*Model!D191))*(1+'Cost Basis'!F$3)))</f>
        <v>0</v>
      </c>
      <c r="I191" s="124" t="s">
        <v>420</v>
      </c>
      <c r="J191" s="59"/>
      <c r="K191" s="61"/>
      <c r="L191" s="62" t="str">
        <f>IF(K191=0,"N/A",(LOOKUP(I191,'Cost Basis'!A$4:A$13,'Cost Basis'!E$4:E$13)+IF(LOOKUP(Model!I191,'Cost Basis'!A$4:A$11)=I191,LOOKUP(Model!I191,'Cost Basis'!A$4:A$11,'Cost Basis'!C$4:C$11)*Model!K191*(1+LOOKUP(I191,'Cost Basis'!A$4:A$13,'Cost Basis'!F$3:F$13)),LOOKUP(Model!I191,'Cost Basis'!A$4:A$13,'Cost Basis'!C$4:C$13)*ROUNDUP(Model!K191/5280/30,0))*(1+LOOKUP(I191,'Cost Basis'!A$4:A$13,'Cost Basis'!F$4:F$13))))</f>
        <v>N/A</v>
      </c>
      <c r="M191" s="264">
        <f t="shared" si="12"/>
        <v>0</v>
      </c>
      <c r="N191" s="64" t="s">
        <v>966</v>
      </c>
      <c r="O191" s="253" t="s">
        <v>990</v>
      </c>
      <c r="P191" s="69"/>
    </row>
    <row r="192" spans="1:19" x14ac:dyDescent="0.3">
      <c r="A192" s="80">
        <v>1.1779999999999804</v>
      </c>
      <c r="B192" s="59" t="s">
        <v>5</v>
      </c>
      <c r="C192" s="59" t="s">
        <v>178</v>
      </c>
      <c r="D192" s="119">
        <v>-20</v>
      </c>
      <c r="E192" s="119"/>
      <c r="F192" s="59"/>
      <c r="G192" s="59" t="s">
        <v>415</v>
      </c>
      <c r="H192" s="60">
        <f>IF(B192="Projects","N/A",IF(B192="Served","N/A",('Cost Basis'!E$3+('Cost Basis'!C$3*Model!D192))*(1+'Cost Basis'!F$3)))</f>
        <v>0</v>
      </c>
      <c r="I192" s="124" t="s">
        <v>420</v>
      </c>
      <c r="J192" s="59"/>
      <c r="K192" s="61"/>
      <c r="L192" s="62" t="str">
        <f>IF(K192=0,"N/A",(LOOKUP(I192,'Cost Basis'!A$4:A$13,'Cost Basis'!E$4:E$13)+IF(LOOKUP(Model!I192,'Cost Basis'!A$4:A$11)=I192,LOOKUP(Model!I192,'Cost Basis'!A$4:A$11,'Cost Basis'!C$4:C$11)*Model!K192*(1+LOOKUP(I192,'Cost Basis'!A$4:A$13,'Cost Basis'!F$3:F$13)),LOOKUP(Model!I192,'Cost Basis'!A$4:A$13,'Cost Basis'!C$4:C$13)*ROUNDUP(Model!K192/5280/30,0))*(1+LOOKUP(I192,'Cost Basis'!A$4:A$13,'Cost Basis'!F$4:F$13))))</f>
        <v>N/A</v>
      </c>
      <c r="M192" s="264">
        <f t="shared" si="12"/>
        <v>0</v>
      </c>
      <c r="N192" s="64" t="s">
        <v>967</v>
      </c>
      <c r="O192" s="253" t="s">
        <v>994</v>
      </c>
      <c r="P192" s="69"/>
    </row>
    <row r="193" spans="1:16" x14ac:dyDescent="0.3">
      <c r="A193" s="80">
        <v>1.1799999999999802</v>
      </c>
      <c r="B193" s="59" t="s">
        <v>5</v>
      </c>
      <c r="C193" s="59" t="s">
        <v>180</v>
      </c>
      <c r="D193" s="119">
        <v>-20</v>
      </c>
      <c r="E193" s="119"/>
      <c r="F193" s="59"/>
      <c r="G193" s="59" t="s">
        <v>415</v>
      </c>
      <c r="H193" s="60">
        <f>IF(B193="Projects","N/A",IF(B193="Served","N/A",('Cost Basis'!E$3+('Cost Basis'!C$3*Model!D193))*(1+'Cost Basis'!F$3)))</f>
        <v>0</v>
      </c>
      <c r="I193" s="124" t="s">
        <v>420</v>
      </c>
      <c r="J193" s="59"/>
      <c r="K193" s="61"/>
      <c r="L193" s="62" t="str">
        <f>IF(K193=0,"N/A",(LOOKUP(I193,'Cost Basis'!A$4:A$13,'Cost Basis'!E$4:E$13)+IF(LOOKUP(Model!I193,'Cost Basis'!A$4:A$11)=I193,LOOKUP(Model!I193,'Cost Basis'!A$4:A$11,'Cost Basis'!C$4:C$11)*Model!K193*(1+LOOKUP(I193,'Cost Basis'!A$4:A$13,'Cost Basis'!F$3:F$13)),LOOKUP(Model!I193,'Cost Basis'!A$4:A$13,'Cost Basis'!C$4:C$13)*ROUNDUP(Model!K193/5280/30,0))*(1+LOOKUP(I193,'Cost Basis'!A$4:A$13,'Cost Basis'!F$4:F$13))))</f>
        <v>N/A</v>
      </c>
      <c r="M193" s="264">
        <f t="shared" si="12"/>
        <v>0</v>
      </c>
      <c r="N193" s="64" t="s">
        <v>968</v>
      </c>
      <c r="O193" s="253" t="s">
        <v>993</v>
      </c>
      <c r="P193" s="69"/>
    </row>
    <row r="194" spans="1:16" x14ac:dyDescent="0.3">
      <c r="A194" s="80">
        <v>1.1809999999999801</v>
      </c>
      <c r="B194" s="59" t="s">
        <v>5</v>
      </c>
      <c r="C194" s="59" t="s">
        <v>181</v>
      </c>
      <c r="D194" s="119">
        <v>-20</v>
      </c>
      <c r="E194" s="119"/>
      <c r="F194" s="59"/>
      <c r="G194" s="59" t="s">
        <v>415</v>
      </c>
      <c r="H194" s="60">
        <f>IF(B194="Projects","N/A",IF(B194="Served","N/A",('Cost Basis'!E$3+('Cost Basis'!C$3*Model!D194))*(1+'Cost Basis'!F$3)))</f>
        <v>0</v>
      </c>
      <c r="I194" s="124" t="s">
        <v>420</v>
      </c>
      <c r="J194" s="59"/>
      <c r="K194" s="61"/>
      <c r="L194" s="62" t="str">
        <f>IF(K194=0,"N/A",(LOOKUP(I194,'Cost Basis'!A$4:A$13,'Cost Basis'!E$4:E$13)+IF(LOOKUP(Model!I194,'Cost Basis'!A$4:A$11)=I194,LOOKUP(Model!I194,'Cost Basis'!A$4:A$11,'Cost Basis'!C$4:C$11)*Model!K194*(1+LOOKUP(I194,'Cost Basis'!A$4:A$13,'Cost Basis'!F$3:F$13)),LOOKUP(Model!I194,'Cost Basis'!A$4:A$13,'Cost Basis'!C$4:C$13)*ROUNDUP(Model!K194/5280/30,0))*(1+LOOKUP(I194,'Cost Basis'!A$4:A$13,'Cost Basis'!F$4:F$13))))</f>
        <v>N/A</v>
      </c>
      <c r="M194" s="264">
        <f t="shared" ref="M194:M257" si="14">IF(L194="N/A",H194,H194+L194)</f>
        <v>0</v>
      </c>
      <c r="N194" s="64" t="s">
        <v>969</v>
      </c>
      <c r="O194" s="253" t="s">
        <v>992</v>
      </c>
      <c r="P194" s="69"/>
    </row>
    <row r="195" spans="1:16" ht="15" thickBot="1" x14ac:dyDescent="0.35">
      <c r="A195" s="108">
        <v>1.2009999999999779</v>
      </c>
      <c r="B195" s="72" t="s">
        <v>5</v>
      </c>
      <c r="C195" s="72" t="s">
        <v>201</v>
      </c>
      <c r="D195" s="120">
        <v>2</v>
      </c>
      <c r="E195" s="120">
        <v>2</v>
      </c>
      <c r="F195" s="72"/>
      <c r="G195" s="72" t="s">
        <v>415</v>
      </c>
      <c r="H195" s="74">
        <f>IF(B195="Projects","N/A",IF(B195="Served","N/A",('Cost Basis'!E$3+('Cost Basis'!C$3*Model!D195))*(1+'Cost Basis'!F$3)))</f>
        <v>181500.00000000003</v>
      </c>
      <c r="I195" s="124" t="s">
        <v>442</v>
      </c>
      <c r="J195" s="90" t="s">
        <v>403</v>
      </c>
      <c r="K195" s="75">
        <v>0</v>
      </c>
      <c r="L195" s="76" t="str">
        <f>IF(K195=0,"N/A",(LOOKUP(I195,'Cost Basis'!A$4:A$13,'Cost Basis'!E$4:E$13)+IF(LOOKUP(Model!I195,'Cost Basis'!A$4:A$11)=I195,LOOKUP(Model!I195,'Cost Basis'!A$4:A$11,'Cost Basis'!C$4:C$11)*Model!K195*(1+LOOKUP(I195,'Cost Basis'!A$4:A$13,'Cost Basis'!F$3:F$13)),LOOKUP(Model!I195,'Cost Basis'!A$4:A$13,'Cost Basis'!C$4:C$13)*ROUNDUP(Model!K195/5280/30,0))*(1+LOOKUP(I195,'Cost Basis'!A$4:A$13,'Cost Basis'!F$4:F$13))))</f>
        <v>N/A</v>
      </c>
      <c r="M195" s="265">
        <f t="shared" si="14"/>
        <v>181500.00000000003</v>
      </c>
      <c r="N195" s="77" t="s">
        <v>970</v>
      </c>
      <c r="O195" s="254" t="s">
        <v>993</v>
      </c>
      <c r="P195" s="78"/>
    </row>
    <row r="196" spans="1:16" x14ac:dyDescent="0.3">
      <c r="A196" s="107">
        <v>3.0009999999999999</v>
      </c>
      <c r="B196" s="91" t="s">
        <v>114</v>
      </c>
      <c r="C196" s="91" t="s">
        <v>216</v>
      </c>
      <c r="D196" s="99">
        <v>134</v>
      </c>
      <c r="E196" s="99">
        <v>106</v>
      </c>
      <c r="F196" s="91"/>
      <c r="G196" s="91"/>
      <c r="H196" s="93" t="str">
        <f>IF(B196="Projects","N/A",IF(B196="Served","N/A",('Cost Basis'!E$3+('Cost Basis'!C$3*Model!D196))*(1+'Cost Basis'!F$3)))</f>
        <v>N/A</v>
      </c>
      <c r="I196" s="94" t="s">
        <v>403</v>
      </c>
      <c r="J196" s="94" t="s">
        <v>403</v>
      </c>
      <c r="K196" s="95"/>
      <c r="L196" s="96" t="str">
        <f>IF(K196=0,"N/A",(LOOKUP(I196,'Cost Basis'!A$4:A$13,'Cost Basis'!E$4:E$13)+IF(LOOKUP(Model!I196,'Cost Basis'!A$4:A$11)=I196,LOOKUP(Model!I196,'Cost Basis'!A$4:A$11,'Cost Basis'!C$4:C$11)*Model!K196*(1+LOOKUP(I196,'Cost Basis'!A$4:A$13,'Cost Basis'!F$3:F$13)),LOOKUP(Model!I196,'Cost Basis'!A$4:A$13,'Cost Basis'!C$4:C$13)*ROUNDUP(Model!K196/5280/30,0))*(1+LOOKUP(I196,'Cost Basis'!A$4:A$13,'Cost Basis'!F$4:F$13))))</f>
        <v>N/A</v>
      </c>
      <c r="M196" s="267" t="str">
        <f t="shared" si="14"/>
        <v>N/A</v>
      </c>
      <c r="N196" s="97" t="s">
        <v>725</v>
      </c>
      <c r="O196" s="252"/>
      <c r="P196" s="98"/>
    </row>
    <row r="197" spans="1:16" x14ac:dyDescent="0.3">
      <c r="A197" s="80">
        <v>3.0019999999999998</v>
      </c>
      <c r="B197" s="59" t="s">
        <v>114</v>
      </c>
      <c r="C197" s="59" t="s">
        <v>7</v>
      </c>
      <c r="D197" s="65">
        <v>74</v>
      </c>
      <c r="E197" s="65">
        <v>57</v>
      </c>
      <c r="F197" s="59"/>
      <c r="G197" s="59"/>
      <c r="H197" s="87" t="str">
        <f>IF(B197="Projects","N/A",IF(B197="Served","N/A",('Cost Basis'!E$3+('Cost Basis'!C$3*Model!D197))*(1+'Cost Basis'!F$3)))</f>
        <v>N/A</v>
      </c>
      <c r="I197" s="88" t="s">
        <v>403</v>
      </c>
      <c r="J197" s="88" t="s">
        <v>403</v>
      </c>
      <c r="K197" s="61"/>
      <c r="L197" s="62" t="str">
        <f>IF(K197=0,"N/A",(LOOKUP(I197,'Cost Basis'!A$4:A$13,'Cost Basis'!E$4:E$13)+IF(LOOKUP(Model!I197,'Cost Basis'!A$4:A$11)=I197,LOOKUP(Model!I197,'Cost Basis'!A$4:A$11,'Cost Basis'!C$4:C$11)*Model!K197*(1+LOOKUP(I197,'Cost Basis'!A$4:A$13,'Cost Basis'!F$3:F$13)),LOOKUP(Model!I197,'Cost Basis'!A$4:A$13,'Cost Basis'!C$4:C$13)*ROUNDUP(Model!K197/5280/30,0))*(1+LOOKUP(I197,'Cost Basis'!A$4:A$13,'Cost Basis'!F$4:F$13))))</f>
        <v>N/A</v>
      </c>
      <c r="M197" s="268" t="str">
        <f t="shared" si="14"/>
        <v>N/A</v>
      </c>
      <c r="N197" s="64" t="s">
        <v>726</v>
      </c>
      <c r="O197" s="253"/>
      <c r="P197" s="69"/>
    </row>
    <row r="198" spans="1:16" x14ac:dyDescent="0.3">
      <c r="A198" s="80">
        <v>3.0029999999999997</v>
      </c>
      <c r="B198" s="59" t="s">
        <v>114</v>
      </c>
      <c r="C198" s="59" t="s">
        <v>250</v>
      </c>
      <c r="D198" s="65">
        <v>80</v>
      </c>
      <c r="E198" s="65">
        <v>69</v>
      </c>
      <c r="F198" s="59"/>
      <c r="G198" s="59"/>
      <c r="H198" s="87" t="str">
        <f>IF(B198="Projects","N/A",IF(B198="Served","N/A",('Cost Basis'!E$3+('Cost Basis'!C$3*Model!D198))*(1+'Cost Basis'!F$3)))</f>
        <v>N/A</v>
      </c>
      <c r="I198" s="88" t="s">
        <v>403</v>
      </c>
      <c r="J198" s="88" t="s">
        <v>403</v>
      </c>
      <c r="K198" s="61"/>
      <c r="L198" s="62" t="str">
        <f>IF(K198=0,"N/A",(LOOKUP(I198,'Cost Basis'!A$4:A$13,'Cost Basis'!E$4:E$13)+IF(LOOKUP(Model!I198,'Cost Basis'!A$4:A$11)=I198,LOOKUP(Model!I198,'Cost Basis'!A$4:A$11,'Cost Basis'!C$4:C$11)*Model!K198*(1+LOOKUP(I198,'Cost Basis'!A$4:A$13,'Cost Basis'!F$3:F$13)),LOOKUP(Model!I198,'Cost Basis'!A$4:A$13,'Cost Basis'!C$4:C$13)*ROUNDUP(Model!K198/5280/30,0))*(1+LOOKUP(I198,'Cost Basis'!A$4:A$13,'Cost Basis'!F$4:F$13))))</f>
        <v>N/A</v>
      </c>
      <c r="M198" s="268" t="str">
        <f t="shared" si="14"/>
        <v>N/A</v>
      </c>
      <c r="N198" s="64" t="s">
        <v>727</v>
      </c>
      <c r="O198" s="253"/>
      <c r="P198" s="69"/>
    </row>
    <row r="199" spans="1:16" x14ac:dyDescent="0.3">
      <c r="A199" s="80">
        <v>3.0039999999999996</v>
      </c>
      <c r="B199" s="59" t="s">
        <v>114</v>
      </c>
      <c r="C199" s="59" t="s">
        <v>172</v>
      </c>
      <c r="D199" s="65">
        <v>20</v>
      </c>
      <c r="E199" s="65">
        <v>6</v>
      </c>
      <c r="F199" s="59"/>
      <c r="G199" s="59"/>
      <c r="H199" s="87" t="str">
        <f>IF(B199="Projects","N/A",IF(B199="Served","N/A",('Cost Basis'!E$3+('Cost Basis'!C$3*Model!D199))*(1+'Cost Basis'!F$3)))</f>
        <v>N/A</v>
      </c>
      <c r="I199" s="88" t="s">
        <v>403</v>
      </c>
      <c r="J199" s="88" t="s">
        <v>403</v>
      </c>
      <c r="K199" s="61"/>
      <c r="L199" s="62" t="str">
        <f>IF(K199=0,"N/A",(LOOKUP(I199,'Cost Basis'!A$4:A$13,'Cost Basis'!E$4:E$13)+IF(LOOKUP(Model!I199,'Cost Basis'!A$4:A$11)=I199,LOOKUP(Model!I199,'Cost Basis'!A$4:A$11,'Cost Basis'!C$4:C$11)*Model!K199*(1+LOOKUP(I199,'Cost Basis'!A$4:A$13,'Cost Basis'!F$3:F$13)),LOOKUP(Model!I199,'Cost Basis'!A$4:A$13,'Cost Basis'!C$4:C$13)*ROUNDUP(Model!K199/5280/30,0))*(1+LOOKUP(I199,'Cost Basis'!A$4:A$13,'Cost Basis'!F$4:F$13))))</f>
        <v>N/A</v>
      </c>
      <c r="M199" s="268" t="str">
        <f t="shared" si="14"/>
        <v>N/A</v>
      </c>
      <c r="N199" s="64" t="s">
        <v>728</v>
      </c>
      <c r="O199" s="253"/>
      <c r="P199" s="69"/>
    </row>
    <row r="200" spans="1:16" x14ac:dyDescent="0.3">
      <c r="A200" s="80">
        <v>3.0049999999999994</v>
      </c>
      <c r="B200" s="59" t="s">
        <v>114</v>
      </c>
      <c r="C200" s="59" t="s">
        <v>270</v>
      </c>
      <c r="D200" s="65">
        <v>117</v>
      </c>
      <c r="E200" s="65">
        <v>48</v>
      </c>
      <c r="F200" s="59"/>
      <c r="G200" s="59"/>
      <c r="H200" s="87" t="str">
        <f>IF(B200="Projects","N/A",IF(B200="Served","N/A",('Cost Basis'!E$3+('Cost Basis'!C$3*Model!D200))*(1+'Cost Basis'!F$3)))</f>
        <v>N/A</v>
      </c>
      <c r="I200" s="88" t="s">
        <v>403</v>
      </c>
      <c r="J200" s="88" t="s">
        <v>403</v>
      </c>
      <c r="K200" s="61"/>
      <c r="L200" s="62" t="str">
        <f>IF(K200=0,"N/A",(LOOKUP(I200,'Cost Basis'!A$4:A$13,'Cost Basis'!E$4:E$13)+IF(LOOKUP(Model!I200,'Cost Basis'!A$4:A$11)=I200,LOOKUP(Model!I200,'Cost Basis'!A$4:A$11,'Cost Basis'!C$4:C$11)*Model!K200*(1+LOOKUP(I200,'Cost Basis'!A$4:A$13,'Cost Basis'!F$3:F$13)),LOOKUP(Model!I200,'Cost Basis'!A$4:A$13,'Cost Basis'!C$4:C$13)*ROUNDUP(Model!K200/5280/30,0))*(1+LOOKUP(I200,'Cost Basis'!A$4:A$13,'Cost Basis'!F$4:F$13))))</f>
        <v>N/A</v>
      </c>
      <c r="M200" s="268" t="str">
        <f t="shared" si="14"/>
        <v>N/A</v>
      </c>
      <c r="N200" s="64" t="s">
        <v>729</v>
      </c>
      <c r="O200" s="253"/>
      <c r="P200" s="69"/>
    </row>
    <row r="201" spans="1:16" x14ac:dyDescent="0.3">
      <c r="A201" s="80">
        <v>3.0059999999999993</v>
      </c>
      <c r="B201" s="59" t="s">
        <v>114</v>
      </c>
      <c r="C201" s="59" t="s">
        <v>175</v>
      </c>
      <c r="D201" s="65">
        <v>63</v>
      </c>
      <c r="E201" s="65">
        <v>52</v>
      </c>
      <c r="F201" s="59"/>
      <c r="G201" s="59"/>
      <c r="H201" s="87" t="str">
        <f>IF(B201="Projects","N/A",IF(B201="Served","N/A",('Cost Basis'!E$3+('Cost Basis'!C$3*Model!D201))*(1+'Cost Basis'!F$3)))</f>
        <v>N/A</v>
      </c>
      <c r="I201" s="88" t="s">
        <v>403</v>
      </c>
      <c r="J201" s="88" t="s">
        <v>403</v>
      </c>
      <c r="K201" s="61"/>
      <c r="L201" s="62" t="str">
        <f>IF(K201=0,"N/A",(LOOKUP(I201,'Cost Basis'!A$4:A$13,'Cost Basis'!E$4:E$13)+IF(LOOKUP(Model!I201,'Cost Basis'!A$4:A$11)=I201,LOOKUP(Model!I201,'Cost Basis'!A$4:A$11,'Cost Basis'!C$4:C$11)*Model!K201*(1+LOOKUP(I201,'Cost Basis'!A$4:A$13,'Cost Basis'!F$3:F$13)),LOOKUP(Model!I201,'Cost Basis'!A$4:A$13,'Cost Basis'!C$4:C$13)*ROUNDUP(Model!K201/5280/30,0))*(1+LOOKUP(I201,'Cost Basis'!A$4:A$13,'Cost Basis'!F$4:F$13))))</f>
        <v>N/A</v>
      </c>
      <c r="M201" s="268" t="str">
        <f t="shared" si="14"/>
        <v>N/A</v>
      </c>
      <c r="N201" s="64" t="s">
        <v>730</v>
      </c>
      <c r="O201" s="253"/>
      <c r="P201" s="69"/>
    </row>
    <row r="202" spans="1:16" x14ac:dyDescent="0.3">
      <c r="A202" s="80">
        <v>3.0069999999999992</v>
      </c>
      <c r="B202" s="59" t="s">
        <v>114</v>
      </c>
      <c r="C202" s="59" t="s">
        <v>124</v>
      </c>
      <c r="D202" s="65">
        <v>100</v>
      </c>
      <c r="E202" s="65">
        <v>80</v>
      </c>
      <c r="F202" s="59"/>
      <c r="G202" s="59"/>
      <c r="H202" s="87" t="str">
        <f>IF(B202="Projects","N/A",IF(B202="Served","N/A",('Cost Basis'!E$3+('Cost Basis'!C$3*Model!D202))*(1+'Cost Basis'!F$3)))</f>
        <v>N/A</v>
      </c>
      <c r="I202" s="88" t="s">
        <v>403</v>
      </c>
      <c r="J202" s="88" t="s">
        <v>403</v>
      </c>
      <c r="K202" s="61"/>
      <c r="L202" s="62" t="str">
        <f>IF(K202=0,"N/A",(LOOKUP(I202,'Cost Basis'!A$4:A$13,'Cost Basis'!E$4:E$13)+IF(LOOKUP(Model!I202,'Cost Basis'!A$4:A$11)=I202,LOOKUP(Model!I202,'Cost Basis'!A$4:A$11,'Cost Basis'!C$4:C$11)*Model!K202*(1+LOOKUP(I202,'Cost Basis'!A$4:A$13,'Cost Basis'!F$3:F$13)),LOOKUP(Model!I202,'Cost Basis'!A$4:A$13,'Cost Basis'!C$4:C$13)*ROUNDUP(Model!K202/5280/30,0))*(1+LOOKUP(I202,'Cost Basis'!A$4:A$13,'Cost Basis'!F$4:F$13))))</f>
        <v>N/A</v>
      </c>
      <c r="M202" s="268" t="str">
        <f t="shared" si="14"/>
        <v>N/A</v>
      </c>
      <c r="N202" s="64" t="s">
        <v>731</v>
      </c>
      <c r="O202" s="253"/>
      <c r="P202" s="69"/>
    </row>
    <row r="203" spans="1:16" x14ac:dyDescent="0.3">
      <c r="A203" s="80">
        <v>3.0079999999999991</v>
      </c>
      <c r="B203" s="59" t="s">
        <v>114</v>
      </c>
      <c r="C203" s="59" t="s">
        <v>237</v>
      </c>
      <c r="D203" s="65">
        <v>112</v>
      </c>
      <c r="E203" s="65">
        <v>89</v>
      </c>
      <c r="F203" s="59"/>
      <c r="G203" s="59"/>
      <c r="H203" s="87" t="str">
        <f>IF(B203="Projects","N/A",IF(B203="Served","N/A",('Cost Basis'!E$3+('Cost Basis'!C$3*Model!D203))*(1+'Cost Basis'!F$3)))</f>
        <v>N/A</v>
      </c>
      <c r="I203" s="88" t="s">
        <v>403</v>
      </c>
      <c r="J203" s="88" t="s">
        <v>403</v>
      </c>
      <c r="K203" s="61"/>
      <c r="L203" s="62" t="str">
        <f>IF(K203=0,"N/A",(LOOKUP(I203,'Cost Basis'!A$4:A$13,'Cost Basis'!E$4:E$13)+IF(LOOKUP(Model!I203,'Cost Basis'!A$4:A$11)=I203,LOOKUP(Model!I203,'Cost Basis'!A$4:A$11,'Cost Basis'!C$4:C$11)*Model!K203*(1+LOOKUP(I203,'Cost Basis'!A$4:A$13,'Cost Basis'!F$3:F$13)),LOOKUP(Model!I203,'Cost Basis'!A$4:A$13,'Cost Basis'!C$4:C$13)*ROUNDUP(Model!K203/5280/30,0))*(1+LOOKUP(I203,'Cost Basis'!A$4:A$13,'Cost Basis'!F$4:F$13))))</f>
        <v>N/A</v>
      </c>
      <c r="M203" s="268" t="str">
        <f t="shared" si="14"/>
        <v>N/A</v>
      </c>
      <c r="N203" s="64" t="s">
        <v>732</v>
      </c>
      <c r="O203" s="253"/>
      <c r="P203" s="69"/>
    </row>
    <row r="204" spans="1:16" x14ac:dyDescent="0.3">
      <c r="A204" s="80">
        <v>3.008999999999999</v>
      </c>
      <c r="B204" s="59" t="s">
        <v>114</v>
      </c>
      <c r="C204" s="59" t="s">
        <v>274</v>
      </c>
      <c r="D204" s="65">
        <v>38</v>
      </c>
      <c r="E204" s="65">
        <v>31</v>
      </c>
      <c r="F204" s="59"/>
      <c r="G204" s="59"/>
      <c r="H204" s="87" t="str">
        <f>IF(B204="Projects","N/A",IF(B204="Served","N/A",('Cost Basis'!E$3+('Cost Basis'!C$3*Model!D204))*(1+'Cost Basis'!F$3)))</f>
        <v>N/A</v>
      </c>
      <c r="I204" s="88" t="s">
        <v>403</v>
      </c>
      <c r="J204" s="88" t="s">
        <v>403</v>
      </c>
      <c r="K204" s="61"/>
      <c r="L204" s="62" t="str">
        <f>IF(K204=0,"N/A",(LOOKUP(I204,'Cost Basis'!A$4:A$13,'Cost Basis'!E$4:E$13)+IF(LOOKUP(Model!I204,'Cost Basis'!A$4:A$11)=I204,LOOKUP(Model!I204,'Cost Basis'!A$4:A$11,'Cost Basis'!C$4:C$11)*Model!K204*(1+LOOKUP(I204,'Cost Basis'!A$4:A$13,'Cost Basis'!F$3:F$13)),LOOKUP(Model!I204,'Cost Basis'!A$4:A$13,'Cost Basis'!C$4:C$13)*ROUNDUP(Model!K204/5280/30,0))*(1+LOOKUP(I204,'Cost Basis'!A$4:A$13,'Cost Basis'!F$4:F$13))))</f>
        <v>N/A</v>
      </c>
      <c r="M204" s="268" t="str">
        <f t="shared" si="14"/>
        <v>N/A</v>
      </c>
      <c r="N204" s="64" t="s">
        <v>733</v>
      </c>
      <c r="O204" s="253"/>
      <c r="P204" s="69"/>
    </row>
    <row r="205" spans="1:16" x14ac:dyDescent="0.3">
      <c r="A205" s="80">
        <v>3.0099999999999989</v>
      </c>
      <c r="B205" s="59" t="s">
        <v>114</v>
      </c>
      <c r="C205" s="59" t="s">
        <v>221</v>
      </c>
      <c r="D205" s="65">
        <v>84</v>
      </c>
      <c r="E205" s="65">
        <v>47</v>
      </c>
      <c r="F205" s="59"/>
      <c r="G205" s="59"/>
      <c r="H205" s="87" t="str">
        <f>IF(B205="Projects","N/A",IF(B205="Served","N/A",('Cost Basis'!E$3+('Cost Basis'!C$3*Model!D205))*(1+'Cost Basis'!F$3)))</f>
        <v>N/A</v>
      </c>
      <c r="I205" s="88" t="s">
        <v>403</v>
      </c>
      <c r="J205" s="88" t="s">
        <v>403</v>
      </c>
      <c r="K205" s="61"/>
      <c r="L205" s="62" t="str">
        <f>IF(K205=0,"N/A",(LOOKUP(I205,'Cost Basis'!A$4:A$13,'Cost Basis'!E$4:E$13)+IF(LOOKUP(Model!I205,'Cost Basis'!A$4:A$11)=I205,LOOKUP(Model!I205,'Cost Basis'!A$4:A$11,'Cost Basis'!C$4:C$11)*Model!K205*(1+LOOKUP(I205,'Cost Basis'!A$4:A$13,'Cost Basis'!F$3:F$13)),LOOKUP(Model!I205,'Cost Basis'!A$4:A$13,'Cost Basis'!C$4:C$13)*ROUNDUP(Model!K205/5280/30,0))*(1+LOOKUP(I205,'Cost Basis'!A$4:A$13,'Cost Basis'!F$4:F$13))))</f>
        <v>N/A</v>
      </c>
      <c r="M205" s="268" t="str">
        <f t="shared" si="14"/>
        <v>N/A</v>
      </c>
      <c r="N205" s="64" t="s">
        <v>734</v>
      </c>
      <c r="O205" s="253"/>
      <c r="P205" s="69"/>
    </row>
    <row r="206" spans="1:16" x14ac:dyDescent="0.3">
      <c r="A206" s="80">
        <v>3.0109999999999988</v>
      </c>
      <c r="B206" s="59" t="s">
        <v>114</v>
      </c>
      <c r="C206" s="59" t="s">
        <v>256</v>
      </c>
      <c r="D206" s="65">
        <v>2576</v>
      </c>
      <c r="E206" s="65">
        <v>2026</v>
      </c>
      <c r="F206" s="59"/>
      <c r="G206" s="59"/>
      <c r="H206" s="87" t="str">
        <f>IF(B206="Projects","N/A",IF(B206="Served","N/A",('Cost Basis'!E$3+('Cost Basis'!C$3*Model!D206))*(1+'Cost Basis'!F$3)))</f>
        <v>N/A</v>
      </c>
      <c r="I206" s="88" t="s">
        <v>403</v>
      </c>
      <c r="J206" s="88" t="s">
        <v>403</v>
      </c>
      <c r="K206" s="61"/>
      <c r="L206" s="62" t="str">
        <f>IF(K206=0,"N/A",(LOOKUP(I206,'Cost Basis'!A$4:A$13,'Cost Basis'!E$4:E$13)+IF(LOOKUP(Model!I206,'Cost Basis'!A$4:A$11)=I206,LOOKUP(Model!I206,'Cost Basis'!A$4:A$11,'Cost Basis'!C$4:C$11)*Model!K206*(1+LOOKUP(I206,'Cost Basis'!A$4:A$13,'Cost Basis'!F$3:F$13)),LOOKUP(Model!I206,'Cost Basis'!A$4:A$13,'Cost Basis'!C$4:C$13)*ROUNDUP(Model!K206/5280/30,0))*(1+LOOKUP(I206,'Cost Basis'!A$4:A$13,'Cost Basis'!F$4:F$13))))</f>
        <v>N/A</v>
      </c>
      <c r="M206" s="268" t="str">
        <f t="shared" si="14"/>
        <v>N/A</v>
      </c>
      <c r="N206" s="64" t="s">
        <v>735</v>
      </c>
      <c r="O206" s="253"/>
      <c r="P206" s="69"/>
    </row>
    <row r="207" spans="1:16" x14ac:dyDescent="0.3">
      <c r="A207" s="80">
        <v>3.0119999999999987</v>
      </c>
      <c r="B207" s="59" t="s">
        <v>114</v>
      </c>
      <c r="C207" s="59" t="s">
        <v>179</v>
      </c>
      <c r="D207" s="65">
        <v>20</v>
      </c>
      <c r="E207" s="65">
        <v>2</v>
      </c>
      <c r="F207" s="59"/>
      <c r="G207" s="59"/>
      <c r="H207" s="87" t="str">
        <f>IF(B207="Projects","N/A",IF(B207="Served","N/A",('Cost Basis'!E$3+('Cost Basis'!C$3*Model!D207))*(1+'Cost Basis'!F$3)))</f>
        <v>N/A</v>
      </c>
      <c r="I207" s="88" t="s">
        <v>403</v>
      </c>
      <c r="J207" s="88" t="s">
        <v>403</v>
      </c>
      <c r="K207" s="61"/>
      <c r="L207" s="62" t="str">
        <f>IF(K207=0,"N/A",(LOOKUP(I207,'Cost Basis'!A$4:A$13,'Cost Basis'!E$4:E$13)+IF(LOOKUP(Model!I207,'Cost Basis'!A$4:A$11)=I207,LOOKUP(Model!I207,'Cost Basis'!A$4:A$11,'Cost Basis'!C$4:C$11)*Model!K207*(1+LOOKUP(I207,'Cost Basis'!A$4:A$13,'Cost Basis'!F$3:F$13)),LOOKUP(Model!I207,'Cost Basis'!A$4:A$13,'Cost Basis'!C$4:C$13)*ROUNDUP(Model!K207/5280/30,0))*(1+LOOKUP(I207,'Cost Basis'!A$4:A$13,'Cost Basis'!F$4:F$13))))</f>
        <v>N/A</v>
      </c>
      <c r="M207" s="268" t="str">
        <f t="shared" si="14"/>
        <v>N/A</v>
      </c>
      <c r="N207" s="64" t="s">
        <v>736</v>
      </c>
      <c r="O207" s="253"/>
      <c r="P207" s="69"/>
    </row>
    <row r="208" spans="1:16" x14ac:dyDescent="0.3">
      <c r="A208" s="80">
        <v>3.0129999999999986</v>
      </c>
      <c r="B208" s="59" t="s">
        <v>114</v>
      </c>
      <c r="C208" s="59" t="s">
        <v>268</v>
      </c>
      <c r="D208" s="65">
        <v>132</v>
      </c>
      <c r="E208" s="65">
        <v>127</v>
      </c>
      <c r="F208" s="59"/>
      <c r="G208" s="59"/>
      <c r="H208" s="87" t="str">
        <f>IF(B208="Projects","N/A",IF(B208="Served","N/A",('Cost Basis'!E$3+('Cost Basis'!C$3*Model!D208))*(1+'Cost Basis'!F$3)))</f>
        <v>N/A</v>
      </c>
      <c r="I208" s="88" t="s">
        <v>403</v>
      </c>
      <c r="J208" s="88" t="s">
        <v>403</v>
      </c>
      <c r="K208" s="61"/>
      <c r="L208" s="62" t="str">
        <f>IF(K208=0,"N/A",(LOOKUP(I208,'Cost Basis'!A$4:A$13,'Cost Basis'!E$4:E$13)+IF(LOOKUP(Model!I208,'Cost Basis'!A$4:A$11)=I208,LOOKUP(Model!I208,'Cost Basis'!A$4:A$11,'Cost Basis'!C$4:C$11)*Model!K208*(1+LOOKUP(I208,'Cost Basis'!A$4:A$13,'Cost Basis'!F$3:F$13)),LOOKUP(Model!I208,'Cost Basis'!A$4:A$13,'Cost Basis'!C$4:C$13)*ROUNDUP(Model!K208/5280/30,0))*(1+LOOKUP(I208,'Cost Basis'!A$4:A$13,'Cost Basis'!F$4:F$13))))</f>
        <v>N/A</v>
      </c>
      <c r="M208" s="268" t="str">
        <f t="shared" si="14"/>
        <v>N/A</v>
      </c>
      <c r="N208" s="64" t="s">
        <v>737</v>
      </c>
      <c r="O208" s="253"/>
      <c r="P208" s="69"/>
    </row>
    <row r="209" spans="1:16" x14ac:dyDescent="0.3">
      <c r="A209" s="80">
        <v>3.0139999999999985</v>
      </c>
      <c r="B209" s="59" t="s">
        <v>114</v>
      </c>
      <c r="C209" s="59" t="s">
        <v>123</v>
      </c>
      <c r="D209" s="65">
        <v>138</v>
      </c>
      <c r="E209" s="65">
        <v>129</v>
      </c>
      <c r="F209" s="59"/>
      <c r="G209" s="59"/>
      <c r="H209" s="87" t="str">
        <f>IF(B209="Projects","N/A",IF(B209="Served","N/A",('Cost Basis'!E$3+('Cost Basis'!C$3*Model!D209))*(1+'Cost Basis'!F$3)))</f>
        <v>N/A</v>
      </c>
      <c r="I209" s="88" t="s">
        <v>403</v>
      </c>
      <c r="J209" s="88" t="s">
        <v>403</v>
      </c>
      <c r="K209" s="61"/>
      <c r="L209" s="62" t="str">
        <f>IF(K209=0,"N/A",(LOOKUP(I209,'Cost Basis'!A$4:A$13,'Cost Basis'!E$4:E$13)+IF(LOOKUP(Model!I209,'Cost Basis'!A$4:A$11)=I209,LOOKUP(Model!I209,'Cost Basis'!A$4:A$11,'Cost Basis'!C$4:C$11)*Model!K209*(1+LOOKUP(I209,'Cost Basis'!A$4:A$13,'Cost Basis'!F$3:F$13)),LOOKUP(Model!I209,'Cost Basis'!A$4:A$13,'Cost Basis'!C$4:C$13)*ROUNDUP(Model!K209/5280/30,0))*(1+LOOKUP(I209,'Cost Basis'!A$4:A$13,'Cost Basis'!F$4:F$13))))</f>
        <v>N/A</v>
      </c>
      <c r="M209" s="268" t="str">
        <f t="shared" si="14"/>
        <v>N/A</v>
      </c>
      <c r="N209" s="64" t="s">
        <v>738</v>
      </c>
      <c r="O209" s="253"/>
      <c r="P209" s="69"/>
    </row>
    <row r="210" spans="1:16" x14ac:dyDescent="0.3">
      <c r="A210" s="80">
        <v>3.0149999999999983</v>
      </c>
      <c r="B210" s="59" t="s">
        <v>114</v>
      </c>
      <c r="C210" s="59" t="s">
        <v>222</v>
      </c>
      <c r="D210" s="66">
        <v>-20</v>
      </c>
      <c r="E210" s="66"/>
      <c r="F210" s="59"/>
      <c r="G210" s="59"/>
      <c r="H210" s="87" t="str">
        <f>IF(B210="Projects","N/A",IF(B210="Served","N/A",('Cost Basis'!E$3+('Cost Basis'!C$3*Model!D210))*(1+'Cost Basis'!F$3)))</f>
        <v>N/A</v>
      </c>
      <c r="I210" s="88" t="s">
        <v>403</v>
      </c>
      <c r="J210" s="88" t="s">
        <v>403</v>
      </c>
      <c r="K210" s="61"/>
      <c r="L210" s="62" t="str">
        <f>IF(K210=0,"N/A",(LOOKUP(I210,'Cost Basis'!A$4:A$13,'Cost Basis'!E$4:E$13)+IF(LOOKUP(Model!I210,'Cost Basis'!A$4:A$11)=I210,LOOKUP(Model!I210,'Cost Basis'!A$4:A$11,'Cost Basis'!C$4:C$11)*Model!K210*(1+LOOKUP(I210,'Cost Basis'!A$4:A$13,'Cost Basis'!F$3:F$13)),LOOKUP(Model!I210,'Cost Basis'!A$4:A$13,'Cost Basis'!C$4:C$13)*ROUNDUP(Model!K210/5280/30,0))*(1+LOOKUP(I210,'Cost Basis'!A$4:A$13,'Cost Basis'!F$4:F$13))))</f>
        <v>N/A</v>
      </c>
      <c r="M210" s="268" t="str">
        <f t="shared" si="14"/>
        <v>N/A</v>
      </c>
      <c r="N210" s="64" t="s">
        <v>739</v>
      </c>
      <c r="O210" s="253"/>
      <c r="P210" s="69"/>
    </row>
    <row r="211" spans="1:16" x14ac:dyDescent="0.3">
      <c r="A211" s="80">
        <v>3.0159999999999982</v>
      </c>
      <c r="B211" s="59" t="s">
        <v>114</v>
      </c>
      <c r="C211" s="59" t="s">
        <v>247</v>
      </c>
      <c r="D211" s="65">
        <v>35</v>
      </c>
      <c r="E211" s="65">
        <v>13</v>
      </c>
      <c r="F211" s="59"/>
      <c r="G211" s="59"/>
      <c r="H211" s="87" t="str">
        <f>IF(B211="Projects","N/A",IF(B211="Served","N/A",('Cost Basis'!E$3+('Cost Basis'!C$3*Model!D211))*(1+'Cost Basis'!F$3)))</f>
        <v>N/A</v>
      </c>
      <c r="I211" s="88" t="s">
        <v>403</v>
      </c>
      <c r="J211" s="88" t="s">
        <v>403</v>
      </c>
      <c r="K211" s="61"/>
      <c r="L211" s="62" t="str">
        <f>IF(K211=0,"N/A",(LOOKUP(I211,'Cost Basis'!A$4:A$13,'Cost Basis'!E$4:E$13)+IF(LOOKUP(Model!I211,'Cost Basis'!A$4:A$11)=I211,LOOKUP(Model!I211,'Cost Basis'!A$4:A$11,'Cost Basis'!C$4:C$11)*Model!K211*(1+LOOKUP(I211,'Cost Basis'!A$4:A$13,'Cost Basis'!F$3:F$13)),LOOKUP(Model!I211,'Cost Basis'!A$4:A$13,'Cost Basis'!C$4:C$13)*ROUNDUP(Model!K211/5280/30,0))*(1+LOOKUP(I211,'Cost Basis'!A$4:A$13,'Cost Basis'!F$4:F$13))))</f>
        <v>N/A</v>
      </c>
      <c r="M211" s="268" t="str">
        <f t="shared" si="14"/>
        <v>N/A</v>
      </c>
      <c r="N211" s="64" t="s">
        <v>740</v>
      </c>
      <c r="O211" s="253"/>
      <c r="P211" s="69"/>
    </row>
    <row r="212" spans="1:16" x14ac:dyDescent="0.3">
      <c r="A212" s="80">
        <v>3.0169999999999981</v>
      </c>
      <c r="B212" s="59" t="s">
        <v>114</v>
      </c>
      <c r="C212" s="59" t="s">
        <v>251</v>
      </c>
      <c r="D212" s="65">
        <v>80</v>
      </c>
      <c r="E212" s="65">
        <v>16</v>
      </c>
      <c r="F212" s="59"/>
      <c r="G212" s="59"/>
      <c r="H212" s="87" t="str">
        <f>IF(B212="Projects","N/A",IF(B212="Served","N/A",('Cost Basis'!E$3+('Cost Basis'!C$3*Model!D212))*(1+'Cost Basis'!F$3)))</f>
        <v>N/A</v>
      </c>
      <c r="I212" s="88" t="s">
        <v>403</v>
      </c>
      <c r="J212" s="88" t="s">
        <v>403</v>
      </c>
      <c r="K212" s="61"/>
      <c r="L212" s="62" t="str">
        <f>IF(K212=0,"N/A",(LOOKUP(I212,'Cost Basis'!A$4:A$13,'Cost Basis'!E$4:E$13)+IF(LOOKUP(Model!I212,'Cost Basis'!A$4:A$11)=I212,LOOKUP(Model!I212,'Cost Basis'!A$4:A$11,'Cost Basis'!C$4:C$11)*Model!K212*(1+LOOKUP(I212,'Cost Basis'!A$4:A$13,'Cost Basis'!F$3:F$13)),LOOKUP(Model!I212,'Cost Basis'!A$4:A$13,'Cost Basis'!C$4:C$13)*ROUNDUP(Model!K212/5280/30,0))*(1+LOOKUP(I212,'Cost Basis'!A$4:A$13,'Cost Basis'!F$4:F$13))))</f>
        <v>N/A</v>
      </c>
      <c r="M212" s="268" t="str">
        <f t="shared" si="14"/>
        <v>N/A</v>
      </c>
      <c r="N212" s="64" t="s">
        <v>741</v>
      </c>
      <c r="O212" s="253"/>
      <c r="P212" s="69"/>
    </row>
    <row r="213" spans="1:16" x14ac:dyDescent="0.3">
      <c r="A213" s="80">
        <v>3.017999999999998</v>
      </c>
      <c r="B213" s="59" t="s">
        <v>114</v>
      </c>
      <c r="C213" s="59" t="s">
        <v>261</v>
      </c>
      <c r="D213" s="65">
        <v>59</v>
      </c>
      <c r="E213" s="65">
        <v>13</v>
      </c>
      <c r="F213" s="59"/>
      <c r="G213" s="59"/>
      <c r="H213" s="87" t="str">
        <f>IF(B213="Projects","N/A",IF(B213="Served","N/A",('Cost Basis'!E$3+('Cost Basis'!C$3*Model!D213))*(1+'Cost Basis'!F$3)))</f>
        <v>N/A</v>
      </c>
      <c r="I213" s="88" t="s">
        <v>403</v>
      </c>
      <c r="J213" s="88" t="s">
        <v>403</v>
      </c>
      <c r="K213" s="61"/>
      <c r="L213" s="62" t="str">
        <f>IF(K213=0,"N/A",(LOOKUP(I213,'Cost Basis'!A$4:A$13,'Cost Basis'!E$4:E$13)+IF(LOOKUP(Model!I213,'Cost Basis'!A$4:A$11)=I213,LOOKUP(Model!I213,'Cost Basis'!A$4:A$11,'Cost Basis'!C$4:C$11)*Model!K213*(1+LOOKUP(I213,'Cost Basis'!A$4:A$13,'Cost Basis'!F$3:F$13)),LOOKUP(Model!I213,'Cost Basis'!A$4:A$13,'Cost Basis'!C$4:C$13)*ROUNDUP(Model!K213/5280/30,0))*(1+LOOKUP(I213,'Cost Basis'!A$4:A$13,'Cost Basis'!F$4:F$13))))</f>
        <v>N/A</v>
      </c>
      <c r="M213" s="268" t="str">
        <f t="shared" si="14"/>
        <v>N/A</v>
      </c>
      <c r="N213" s="64" t="s">
        <v>742</v>
      </c>
      <c r="O213" s="253"/>
      <c r="P213" s="69"/>
    </row>
    <row r="214" spans="1:16" x14ac:dyDescent="0.3">
      <c r="A214" s="80">
        <v>3.0189999999999979</v>
      </c>
      <c r="B214" s="59" t="s">
        <v>114</v>
      </c>
      <c r="C214" s="59" t="s">
        <v>262</v>
      </c>
      <c r="D214" s="65">
        <v>43</v>
      </c>
      <c r="E214" s="65">
        <v>20</v>
      </c>
      <c r="F214" s="59"/>
      <c r="G214" s="59"/>
      <c r="H214" s="87" t="str">
        <f>IF(B214="Projects","N/A",IF(B214="Served","N/A",('Cost Basis'!E$3+('Cost Basis'!C$3*Model!D214))*(1+'Cost Basis'!F$3)))</f>
        <v>N/A</v>
      </c>
      <c r="I214" s="88" t="s">
        <v>403</v>
      </c>
      <c r="J214" s="88" t="s">
        <v>403</v>
      </c>
      <c r="K214" s="61"/>
      <c r="L214" s="62" t="str">
        <f>IF(K214=0,"N/A",(LOOKUP(I214,'Cost Basis'!A$4:A$13,'Cost Basis'!E$4:E$13)+IF(LOOKUP(Model!I214,'Cost Basis'!A$4:A$11)=I214,LOOKUP(Model!I214,'Cost Basis'!A$4:A$11,'Cost Basis'!C$4:C$11)*Model!K214*(1+LOOKUP(I214,'Cost Basis'!A$4:A$13,'Cost Basis'!F$3:F$13)),LOOKUP(Model!I214,'Cost Basis'!A$4:A$13,'Cost Basis'!C$4:C$13)*ROUNDUP(Model!K214/5280/30,0))*(1+LOOKUP(I214,'Cost Basis'!A$4:A$13,'Cost Basis'!F$4:F$13))))</f>
        <v>N/A</v>
      </c>
      <c r="M214" s="268" t="str">
        <f t="shared" si="14"/>
        <v>N/A</v>
      </c>
      <c r="N214" s="64" t="s">
        <v>743</v>
      </c>
      <c r="O214" s="253"/>
      <c r="P214" s="69"/>
    </row>
    <row r="215" spans="1:16" x14ac:dyDescent="0.3">
      <c r="A215" s="80">
        <v>3.0199999999999978</v>
      </c>
      <c r="B215" s="59" t="s">
        <v>114</v>
      </c>
      <c r="C215" s="59" t="s">
        <v>271</v>
      </c>
      <c r="D215" s="65">
        <v>48</v>
      </c>
      <c r="E215" s="65">
        <v>14</v>
      </c>
      <c r="F215" s="59"/>
      <c r="G215" s="59"/>
      <c r="H215" s="87" t="str">
        <f>IF(B215="Projects","N/A",IF(B215="Served","N/A",('Cost Basis'!E$3+('Cost Basis'!C$3*Model!D215))*(1+'Cost Basis'!F$3)))</f>
        <v>N/A</v>
      </c>
      <c r="I215" s="88" t="s">
        <v>403</v>
      </c>
      <c r="J215" s="88" t="s">
        <v>403</v>
      </c>
      <c r="K215" s="61"/>
      <c r="L215" s="62" t="str">
        <f>IF(K215=0,"N/A",(LOOKUP(I215,'Cost Basis'!A$4:A$13,'Cost Basis'!E$4:E$13)+IF(LOOKUP(Model!I215,'Cost Basis'!A$4:A$11)=I215,LOOKUP(Model!I215,'Cost Basis'!A$4:A$11,'Cost Basis'!C$4:C$11)*Model!K215*(1+LOOKUP(I215,'Cost Basis'!A$4:A$13,'Cost Basis'!F$3:F$13)),LOOKUP(Model!I215,'Cost Basis'!A$4:A$13,'Cost Basis'!C$4:C$13)*ROUNDUP(Model!K215/5280/30,0))*(1+LOOKUP(I215,'Cost Basis'!A$4:A$13,'Cost Basis'!F$4:F$13))))</f>
        <v>N/A</v>
      </c>
      <c r="M215" s="268" t="str">
        <f t="shared" si="14"/>
        <v>N/A</v>
      </c>
      <c r="N215" s="64" t="s">
        <v>744</v>
      </c>
      <c r="O215" s="253"/>
      <c r="P215" s="69"/>
    </row>
    <row r="216" spans="1:16" x14ac:dyDescent="0.3">
      <c r="A216" s="80">
        <v>3.0209999999999977</v>
      </c>
      <c r="B216" s="59" t="s">
        <v>114</v>
      </c>
      <c r="C216" s="59" t="s">
        <v>228</v>
      </c>
      <c r="D216" s="65">
        <v>229</v>
      </c>
      <c r="E216" s="65">
        <v>89</v>
      </c>
      <c r="F216" s="59"/>
      <c r="G216" s="59"/>
      <c r="H216" s="87" t="str">
        <f>IF(B216="Projects","N/A",IF(B216="Served","N/A",('Cost Basis'!E$3+('Cost Basis'!C$3*Model!D216))*(1+'Cost Basis'!F$3)))</f>
        <v>N/A</v>
      </c>
      <c r="I216" s="88" t="s">
        <v>403</v>
      </c>
      <c r="J216" s="88" t="s">
        <v>403</v>
      </c>
      <c r="K216" s="61"/>
      <c r="L216" s="62" t="str">
        <f>IF(K216=0,"N/A",(LOOKUP(I216,'Cost Basis'!A$4:A$13,'Cost Basis'!E$4:E$13)+IF(LOOKUP(Model!I216,'Cost Basis'!A$4:A$11)=I216,LOOKUP(Model!I216,'Cost Basis'!A$4:A$11,'Cost Basis'!C$4:C$11)*Model!K216*(1+LOOKUP(I216,'Cost Basis'!A$4:A$13,'Cost Basis'!F$3:F$13)),LOOKUP(Model!I216,'Cost Basis'!A$4:A$13,'Cost Basis'!C$4:C$13)*ROUNDUP(Model!K216/5280/30,0))*(1+LOOKUP(I216,'Cost Basis'!A$4:A$13,'Cost Basis'!F$4:F$13))))</f>
        <v>N/A</v>
      </c>
      <c r="M216" s="268" t="str">
        <f t="shared" si="14"/>
        <v>N/A</v>
      </c>
      <c r="N216" s="64" t="s">
        <v>745</v>
      </c>
      <c r="O216" s="253"/>
      <c r="P216" s="69"/>
    </row>
    <row r="217" spans="1:16" x14ac:dyDescent="0.3">
      <c r="A217" s="80">
        <v>3.0219999999999976</v>
      </c>
      <c r="B217" s="59" t="s">
        <v>114</v>
      </c>
      <c r="C217" s="59" t="s">
        <v>263</v>
      </c>
      <c r="D217" s="65">
        <v>130</v>
      </c>
      <c r="E217" s="65">
        <v>86</v>
      </c>
      <c r="F217" s="59"/>
      <c r="G217" s="59"/>
      <c r="H217" s="87" t="str">
        <f>IF(B217="Projects","N/A",IF(B217="Served","N/A",('Cost Basis'!E$3+('Cost Basis'!C$3*Model!D217))*(1+'Cost Basis'!F$3)))</f>
        <v>N/A</v>
      </c>
      <c r="I217" s="88" t="s">
        <v>403</v>
      </c>
      <c r="J217" s="88" t="s">
        <v>403</v>
      </c>
      <c r="K217" s="61"/>
      <c r="L217" s="62" t="str">
        <f>IF(K217=0,"N/A",(LOOKUP(I217,'Cost Basis'!A$4:A$13,'Cost Basis'!E$4:E$13)+IF(LOOKUP(Model!I217,'Cost Basis'!A$4:A$11)=I217,LOOKUP(Model!I217,'Cost Basis'!A$4:A$11,'Cost Basis'!C$4:C$11)*Model!K217*(1+LOOKUP(I217,'Cost Basis'!A$4:A$13,'Cost Basis'!F$3:F$13)),LOOKUP(Model!I217,'Cost Basis'!A$4:A$13,'Cost Basis'!C$4:C$13)*ROUNDUP(Model!K217/5280/30,0))*(1+LOOKUP(I217,'Cost Basis'!A$4:A$13,'Cost Basis'!F$4:F$13))))</f>
        <v>N/A</v>
      </c>
      <c r="M217" s="268" t="str">
        <f t="shared" si="14"/>
        <v>N/A</v>
      </c>
      <c r="N217" s="64" t="s">
        <v>746</v>
      </c>
      <c r="O217" s="253"/>
      <c r="P217" s="69"/>
    </row>
    <row r="218" spans="1:16" x14ac:dyDescent="0.3">
      <c r="A218" s="80">
        <v>3.0229999999999975</v>
      </c>
      <c r="B218" s="59" t="s">
        <v>114</v>
      </c>
      <c r="C218" s="59" t="s">
        <v>223</v>
      </c>
      <c r="D218" s="65">
        <v>100</v>
      </c>
      <c r="E218" s="65">
        <v>9</v>
      </c>
      <c r="F218" s="59"/>
      <c r="G218" s="59"/>
      <c r="H218" s="87" t="str">
        <f>IF(B218="Projects","N/A",IF(B218="Served","N/A",('Cost Basis'!E$3+('Cost Basis'!C$3*Model!D218))*(1+'Cost Basis'!F$3)))</f>
        <v>N/A</v>
      </c>
      <c r="I218" s="88" t="s">
        <v>403</v>
      </c>
      <c r="J218" s="88" t="s">
        <v>403</v>
      </c>
      <c r="K218" s="61"/>
      <c r="L218" s="62" t="str">
        <f>IF(K218=0,"N/A",(LOOKUP(I218,'Cost Basis'!A$4:A$13,'Cost Basis'!E$4:E$13)+IF(LOOKUP(Model!I218,'Cost Basis'!A$4:A$11)=I218,LOOKUP(Model!I218,'Cost Basis'!A$4:A$11,'Cost Basis'!C$4:C$11)*Model!K218*(1+LOOKUP(I218,'Cost Basis'!A$4:A$13,'Cost Basis'!F$3:F$13)),LOOKUP(Model!I218,'Cost Basis'!A$4:A$13,'Cost Basis'!C$4:C$13)*ROUNDUP(Model!K218/5280/30,0))*(1+LOOKUP(I218,'Cost Basis'!A$4:A$13,'Cost Basis'!F$4:F$13))))</f>
        <v>N/A</v>
      </c>
      <c r="M218" s="268" t="str">
        <f t="shared" si="14"/>
        <v>N/A</v>
      </c>
      <c r="N218" s="64" t="s">
        <v>747</v>
      </c>
      <c r="O218" s="253"/>
      <c r="P218" s="69"/>
    </row>
    <row r="219" spans="1:16" x14ac:dyDescent="0.3">
      <c r="A219" s="80">
        <v>3.0239999999999974</v>
      </c>
      <c r="B219" s="59" t="s">
        <v>114</v>
      </c>
      <c r="C219" s="59" t="s">
        <v>125</v>
      </c>
      <c r="D219" s="65">
        <v>54</v>
      </c>
      <c r="E219" s="65">
        <v>36</v>
      </c>
      <c r="F219" s="59"/>
      <c r="G219" s="59"/>
      <c r="H219" s="87" t="str">
        <f>IF(B219="Projects","N/A",IF(B219="Served","N/A",('Cost Basis'!E$3+('Cost Basis'!C$3*Model!D219))*(1+'Cost Basis'!F$3)))</f>
        <v>N/A</v>
      </c>
      <c r="I219" s="88" t="s">
        <v>403</v>
      </c>
      <c r="J219" s="88" t="s">
        <v>403</v>
      </c>
      <c r="K219" s="61"/>
      <c r="L219" s="62" t="str">
        <f>IF(K219=0,"N/A",(LOOKUP(I219,'Cost Basis'!A$4:A$13,'Cost Basis'!E$4:E$13)+IF(LOOKUP(Model!I219,'Cost Basis'!A$4:A$11)=I219,LOOKUP(Model!I219,'Cost Basis'!A$4:A$11,'Cost Basis'!C$4:C$11)*Model!K219*(1+LOOKUP(I219,'Cost Basis'!A$4:A$13,'Cost Basis'!F$3:F$13)),LOOKUP(Model!I219,'Cost Basis'!A$4:A$13,'Cost Basis'!C$4:C$13)*ROUNDUP(Model!K219/5280/30,0))*(1+LOOKUP(I219,'Cost Basis'!A$4:A$13,'Cost Basis'!F$4:F$13))))</f>
        <v>N/A</v>
      </c>
      <c r="M219" s="268" t="str">
        <f t="shared" si="14"/>
        <v>N/A</v>
      </c>
      <c r="N219" s="64" t="s">
        <v>748</v>
      </c>
      <c r="O219" s="253"/>
      <c r="P219" s="69"/>
    </row>
    <row r="220" spans="1:16" x14ac:dyDescent="0.3">
      <c r="A220" s="80">
        <v>3.0249999999999972</v>
      </c>
      <c r="B220" s="59" t="s">
        <v>114</v>
      </c>
      <c r="C220" s="59" t="s">
        <v>272</v>
      </c>
      <c r="D220" s="65">
        <v>997</v>
      </c>
      <c r="E220" s="65">
        <v>697</v>
      </c>
      <c r="F220" s="59"/>
      <c r="G220" s="59"/>
      <c r="H220" s="87" t="str">
        <f>IF(B220="Projects","N/A",IF(B220="Served","N/A",('Cost Basis'!E$3+('Cost Basis'!C$3*Model!D220))*(1+'Cost Basis'!F$3)))</f>
        <v>N/A</v>
      </c>
      <c r="I220" s="88" t="s">
        <v>403</v>
      </c>
      <c r="J220" s="88" t="s">
        <v>403</v>
      </c>
      <c r="K220" s="61"/>
      <c r="L220" s="62" t="str">
        <f>IF(K220=0,"N/A",(LOOKUP(I220,'Cost Basis'!A$4:A$13,'Cost Basis'!E$4:E$13)+IF(LOOKUP(Model!I220,'Cost Basis'!A$4:A$11)=I220,LOOKUP(Model!I220,'Cost Basis'!A$4:A$11,'Cost Basis'!C$4:C$11)*Model!K220*(1+LOOKUP(I220,'Cost Basis'!A$4:A$13,'Cost Basis'!F$3:F$13)),LOOKUP(Model!I220,'Cost Basis'!A$4:A$13,'Cost Basis'!C$4:C$13)*ROUNDUP(Model!K220/5280/30,0))*(1+LOOKUP(I220,'Cost Basis'!A$4:A$13,'Cost Basis'!F$4:F$13))))</f>
        <v>N/A</v>
      </c>
      <c r="M220" s="268" t="str">
        <f t="shared" si="14"/>
        <v>N/A</v>
      </c>
      <c r="N220" s="64" t="s">
        <v>749</v>
      </c>
      <c r="O220" s="253"/>
      <c r="P220" s="69"/>
    </row>
    <row r="221" spans="1:16" x14ac:dyDescent="0.3">
      <c r="A221" s="80">
        <v>3.0259999999999971</v>
      </c>
      <c r="B221" s="59" t="s">
        <v>114</v>
      </c>
      <c r="C221" s="59" t="s">
        <v>257</v>
      </c>
      <c r="D221" s="65">
        <v>131</v>
      </c>
      <c r="E221" s="65">
        <v>116</v>
      </c>
      <c r="F221" s="59"/>
      <c r="G221" s="59"/>
      <c r="H221" s="87" t="str">
        <f>IF(B221="Projects","N/A",IF(B221="Served","N/A",('Cost Basis'!E$3+('Cost Basis'!C$3*Model!D221))*(1+'Cost Basis'!F$3)))</f>
        <v>N/A</v>
      </c>
      <c r="I221" s="88" t="s">
        <v>403</v>
      </c>
      <c r="J221" s="88" t="s">
        <v>403</v>
      </c>
      <c r="K221" s="61"/>
      <c r="L221" s="62" t="str">
        <f>IF(K221=0,"N/A",(LOOKUP(I221,'Cost Basis'!A$4:A$13,'Cost Basis'!E$4:E$13)+IF(LOOKUP(Model!I221,'Cost Basis'!A$4:A$11)=I221,LOOKUP(Model!I221,'Cost Basis'!A$4:A$11,'Cost Basis'!C$4:C$11)*Model!K221*(1+LOOKUP(I221,'Cost Basis'!A$4:A$13,'Cost Basis'!F$3:F$13)),LOOKUP(Model!I221,'Cost Basis'!A$4:A$13,'Cost Basis'!C$4:C$13)*ROUNDUP(Model!K221/5280/30,0))*(1+LOOKUP(I221,'Cost Basis'!A$4:A$13,'Cost Basis'!F$4:F$13))))</f>
        <v>N/A</v>
      </c>
      <c r="M221" s="268" t="str">
        <f t="shared" si="14"/>
        <v>N/A</v>
      </c>
      <c r="N221" s="64" t="s">
        <v>750</v>
      </c>
      <c r="O221" s="253"/>
      <c r="P221" s="69"/>
    </row>
    <row r="222" spans="1:16" x14ac:dyDescent="0.3">
      <c r="A222" s="80">
        <v>3.026999999999997</v>
      </c>
      <c r="B222" s="59" t="s">
        <v>114</v>
      </c>
      <c r="C222" s="59" t="s">
        <v>240</v>
      </c>
      <c r="D222" s="65">
        <v>42</v>
      </c>
      <c r="E222" s="65">
        <v>26</v>
      </c>
      <c r="F222" s="59"/>
      <c r="G222" s="59"/>
      <c r="H222" s="87" t="str">
        <f>IF(B222="Projects","N/A",IF(B222="Served","N/A",('Cost Basis'!E$3+('Cost Basis'!C$3*Model!D222))*(1+'Cost Basis'!F$3)))</f>
        <v>N/A</v>
      </c>
      <c r="I222" s="88" t="s">
        <v>403</v>
      </c>
      <c r="J222" s="88" t="s">
        <v>403</v>
      </c>
      <c r="K222" s="61"/>
      <c r="L222" s="62" t="str">
        <f>IF(K222=0,"N/A",(LOOKUP(I222,'Cost Basis'!A$4:A$13,'Cost Basis'!E$4:E$13)+IF(LOOKUP(Model!I222,'Cost Basis'!A$4:A$11)=I222,LOOKUP(Model!I222,'Cost Basis'!A$4:A$11,'Cost Basis'!C$4:C$11)*Model!K222*(1+LOOKUP(I222,'Cost Basis'!A$4:A$13,'Cost Basis'!F$3:F$13)),LOOKUP(Model!I222,'Cost Basis'!A$4:A$13,'Cost Basis'!C$4:C$13)*ROUNDUP(Model!K222/5280/30,0))*(1+LOOKUP(I222,'Cost Basis'!A$4:A$13,'Cost Basis'!F$4:F$13))))</f>
        <v>N/A</v>
      </c>
      <c r="M222" s="268" t="str">
        <f t="shared" si="14"/>
        <v>N/A</v>
      </c>
      <c r="N222" s="64" t="s">
        <v>751</v>
      </c>
      <c r="O222" s="253"/>
      <c r="P222" s="69"/>
    </row>
    <row r="223" spans="1:16" x14ac:dyDescent="0.3">
      <c r="A223" s="80">
        <v>3.0279999999999969</v>
      </c>
      <c r="B223" s="59" t="s">
        <v>114</v>
      </c>
      <c r="C223" s="59" t="s">
        <v>176</v>
      </c>
      <c r="D223" s="65">
        <v>21</v>
      </c>
      <c r="E223" s="65">
        <v>14</v>
      </c>
      <c r="F223" s="59"/>
      <c r="G223" s="59"/>
      <c r="H223" s="87" t="str">
        <f>IF(B223="Projects","N/A",IF(B223="Served","N/A",('Cost Basis'!E$3+('Cost Basis'!C$3*Model!D223))*(1+'Cost Basis'!F$3)))</f>
        <v>N/A</v>
      </c>
      <c r="I223" s="88" t="s">
        <v>403</v>
      </c>
      <c r="J223" s="88" t="s">
        <v>403</v>
      </c>
      <c r="K223" s="61"/>
      <c r="L223" s="62" t="str">
        <f>IF(K223=0,"N/A",(LOOKUP(I223,'Cost Basis'!A$4:A$13,'Cost Basis'!E$4:E$13)+IF(LOOKUP(Model!I223,'Cost Basis'!A$4:A$11)=I223,LOOKUP(Model!I223,'Cost Basis'!A$4:A$11,'Cost Basis'!C$4:C$11)*Model!K223*(1+LOOKUP(I223,'Cost Basis'!A$4:A$13,'Cost Basis'!F$3:F$13)),LOOKUP(Model!I223,'Cost Basis'!A$4:A$13,'Cost Basis'!C$4:C$13)*ROUNDUP(Model!K223/5280/30,0))*(1+LOOKUP(I223,'Cost Basis'!A$4:A$13,'Cost Basis'!F$4:F$13))))</f>
        <v>N/A</v>
      </c>
      <c r="M223" s="268" t="str">
        <f t="shared" si="14"/>
        <v>N/A</v>
      </c>
      <c r="N223" s="64" t="s">
        <v>752</v>
      </c>
      <c r="O223" s="253"/>
      <c r="P223" s="69"/>
    </row>
    <row r="224" spans="1:16" x14ac:dyDescent="0.3">
      <c r="A224" s="80">
        <v>3.0289999999999968</v>
      </c>
      <c r="B224" s="59" t="s">
        <v>114</v>
      </c>
      <c r="C224" s="59" t="s">
        <v>264</v>
      </c>
      <c r="D224" s="65">
        <v>56</v>
      </c>
      <c r="E224" s="65">
        <v>35</v>
      </c>
      <c r="F224" s="59"/>
      <c r="G224" s="59"/>
      <c r="H224" s="87" t="str">
        <f>IF(B224="Projects","N/A",IF(B224="Served","N/A",('Cost Basis'!E$3+('Cost Basis'!C$3*Model!D224))*(1+'Cost Basis'!F$3)))</f>
        <v>N/A</v>
      </c>
      <c r="I224" s="88" t="s">
        <v>403</v>
      </c>
      <c r="J224" s="88" t="s">
        <v>403</v>
      </c>
      <c r="K224" s="61"/>
      <c r="L224" s="62" t="str">
        <f>IF(K224=0,"N/A",(LOOKUP(I224,'Cost Basis'!A$4:A$13,'Cost Basis'!E$4:E$13)+IF(LOOKUP(Model!I224,'Cost Basis'!A$4:A$11)=I224,LOOKUP(Model!I224,'Cost Basis'!A$4:A$11,'Cost Basis'!C$4:C$11)*Model!K224*(1+LOOKUP(I224,'Cost Basis'!A$4:A$13,'Cost Basis'!F$3:F$13)),LOOKUP(Model!I224,'Cost Basis'!A$4:A$13,'Cost Basis'!C$4:C$13)*ROUNDUP(Model!K224/5280/30,0))*(1+LOOKUP(I224,'Cost Basis'!A$4:A$13,'Cost Basis'!F$4:F$13))))</f>
        <v>N/A</v>
      </c>
      <c r="M224" s="268" t="str">
        <f t="shared" si="14"/>
        <v>N/A</v>
      </c>
      <c r="N224" s="64" t="s">
        <v>753</v>
      </c>
      <c r="O224" s="253"/>
      <c r="P224" s="69"/>
    </row>
    <row r="225" spans="1:16" x14ac:dyDescent="0.3">
      <c r="A225" s="80">
        <v>3.0299999999999967</v>
      </c>
      <c r="B225" s="59" t="s">
        <v>114</v>
      </c>
      <c r="C225" s="59" t="s">
        <v>224</v>
      </c>
      <c r="D225" s="65">
        <v>305</v>
      </c>
      <c r="E225" s="65">
        <v>200</v>
      </c>
      <c r="F225" s="59"/>
      <c r="G225" s="59"/>
      <c r="H225" s="87" t="str">
        <f>IF(B225="Projects","N/A",IF(B225="Served","N/A",('Cost Basis'!E$3+('Cost Basis'!C$3*Model!D225))*(1+'Cost Basis'!F$3)))</f>
        <v>N/A</v>
      </c>
      <c r="I225" s="88" t="s">
        <v>403</v>
      </c>
      <c r="J225" s="88" t="s">
        <v>403</v>
      </c>
      <c r="K225" s="61"/>
      <c r="L225" s="62" t="str">
        <f>IF(K225=0,"N/A",(LOOKUP(I225,'Cost Basis'!A$4:A$13,'Cost Basis'!E$4:E$13)+IF(LOOKUP(Model!I225,'Cost Basis'!A$4:A$11)=I225,LOOKUP(Model!I225,'Cost Basis'!A$4:A$11,'Cost Basis'!C$4:C$11)*Model!K225*(1+LOOKUP(I225,'Cost Basis'!A$4:A$13,'Cost Basis'!F$3:F$13)),LOOKUP(Model!I225,'Cost Basis'!A$4:A$13,'Cost Basis'!C$4:C$13)*ROUNDUP(Model!K225/5280/30,0))*(1+LOOKUP(I225,'Cost Basis'!A$4:A$13,'Cost Basis'!F$4:F$13))))</f>
        <v>N/A</v>
      </c>
      <c r="M225" s="268" t="str">
        <f t="shared" si="14"/>
        <v>N/A</v>
      </c>
      <c r="N225" s="64" t="s">
        <v>754</v>
      </c>
      <c r="O225" s="253"/>
      <c r="P225" s="69"/>
    </row>
    <row r="226" spans="1:16" x14ac:dyDescent="0.3">
      <c r="A226" s="80">
        <v>3.0309999999999966</v>
      </c>
      <c r="B226" s="59" t="s">
        <v>114</v>
      </c>
      <c r="C226" s="59" t="s">
        <v>267</v>
      </c>
      <c r="D226" s="65">
        <v>15</v>
      </c>
      <c r="E226" s="65">
        <v>3</v>
      </c>
      <c r="F226" s="59"/>
      <c r="G226" s="59"/>
      <c r="H226" s="87" t="str">
        <f>IF(B226="Projects","N/A",IF(B226="Served","N/A",('Cost Basis'!E$3+('Cost Basis'!C$3*Model!D226))*(1+'Cost Basis'!F$3)))</f>
        <v>N/A</v>
      </c>
      <c r="I226" s="88" t="s">
        <v>403</v>
      </c>
      <c r="J226" s="88" t="s">
        <v>403</v>
      </c>
      <c r="K226" s="61"/>
      <c r="L226" s="62" t="str">
        <f>IF(K226=0,"N/A",(LOOKUP(I226,'Cost Basis'!A$4:A$13,'Cost Basis'!E$4:E$13)+IF(LOOKUP(Model!I226,'Cost Basis'!A$4:A$11)=I226,LOOKUP(Model!I226,'Cost Basis'!A$4:A$11,'Cost Basis'!C$4:C$11)*Model!K226*(1+LOOKUP(I226,'Cost Basis'!A$4:A$13,'Cost Basis'!F$3:F$13)),LOOKUP(Model!I226,'Cost Basis'!A$4:A$13,'Cost Basis'!C$4:C$13)*ROUNDUP(Model!K226/5280/30,0))*(1+LOOKUP(I226,'Cost Basis'!A$4:A$13,'Cost Basis'!F$4:F$13))))</f>
        <v>N/A</v>
      </c>
      <c r="M226" s="268" t="str">
        <f t="shared" si="14"/>
        <v>N/A</v>
      </c>
      <c r="N226" s="64" t="s">
        <v>755</v>
      </c>
      <c r="O226" s="253"/>
      <c r="P226" s="69"/>
    </row>
    <row r="227" spans="1:16" x14ac:dyDescent="0.3">
      <c r="A227" s="80">
        <v>3.0319999999999965</v>
      </c>
      <c r="B227" s="59" t="s">
        <v>114</v>
      </c>
      <c r="C227" s="59" t="s">
        <v>229</v>
      </c>
      <c r="D227" s="65">
        <v>87</v>
      </c>
      <c r="E227" s="65">
        <v>87</v>
      </c>
      <c r="F227" s="59"/>
      <c r="G227" s="59"/>
      <c r="H227" s="87" t="str">
        <f>IF(B227="Projects","N/A",IF(B227="Served","N/A",('Cost Basis'!E$3+('Cost Basis'!C$3*Model!D227))*(1+'Cost Basis'!F$3)))</f>
        <v>N/A</v>
      </c>
      <c r="I227" s="88" t="s">
        <v>403</v>
      </c>
      <c r="J227" s="88" t="s">
        <v>403</v>
      </c>
      <c r="K227" s="61"/>
      <c r="L227" s="62" t="str">
        <f>IF(K227=0,"N/A",(LOOKUP(I227,'Cost Basis'!A$4:A$13,'Cost Basis'!E$4:E$13)+IF(LOOKUP(Model!I227,'Cost Basis'!A$4:A$11)=I227,LOOKUP(Model!I227,'Cost Basis'!A$4:A$11,'Cost Basis'!C$4:C$11)*Model!K227*(1+LOOKUP(I227,'Cost Basis'!A$4:A$13,'Cost Basis'!F$3:F$13)),LOOKUP(Model!I227,'Cost Basis'!A$4:A$13,'Cost Basis'!C$4:C$13)*ROUNDUP(Model!K227/5280/30,0))*(1+LOOKUP(I227,'Cost Basis'!A$4:A$13,'Cost Basis'!F$4:F$13))))</f>
        <v>N/A</v>
      </c>
      <c r="M227" s="268" t="str">
        <f t="shared" si="14"/>
        <v>N/A</v>
      </c>
      <c r="N227" s="64" t="s">
        <v>756</v>
      </c>
      <c r="O227" s="253"/>
      <c r="P227" s="69"/>
    </row>
    <row r="228" spans="1:16" x14ac:dyDescent="0.3">
      <c r="A228" s="80">
        <v>3.0329999999999964</v>
      </c>
      <c r="B228" s="59" t="s">
        <v>114</v>
      </c>
      <c r="C228" s="59" t="s">
        <v>171</v>
      </c>
      <c r="D228" s="65">
        <v>36</v>
      </c>
      <c r="E228" s="65">
        <v>29</v>
      </c>
      <c r="F228" s="59"/>
      <c r="G228" s="59"/>
      <c r="H228" s="87" t="str">
        <f>IF(B228="Projects","N/A",IF(B228="Served","N/A",('Cost Basis'!E$3+('Cost Basis'!C$3*Model!D228))*(1+'Cost Basis'!F$3)))</f>
        <v>N/A</v>
      </c>
      <c r="I228" s="88" t="s">
        <v>403</v>
      </c>
      <c r="J228" s="88" t="s">
        <v>403</v>
      </c>
      <c r="K228" s="61"/>
      <c r="L228" s="62" t="str">
        <f>IF(K228=0,"N/A",(LOOKUP(I228,'Cost Basis'!A$4:A$13,'Cost Basis'!E$4:E$13)+IF(LOOKUP(Model!I228,'Cost Basis'!A$4:A$11)=I228,LOOKUP(Model!I228,'Cost Basis'!A$4:A$11,'Cost Basis'!C$4:C$11)*Model!K228*(1+LOOKUP(I228,'Cost Basis'!A$4:A$13,'Cost Basis'!F$3:F$13)),LOOKUP(Model!I228,'Cost Basis'!A$4:A$13,'Cost Basis'!C$4:C$13)*ROUNDUP(Model!K228/5280/30,0))*(1+LOOKUP(I228,'Cost Basis'!A$4:A$13,'Cost Basis'!F$4:F$13))))</f>
        <v>N/A</v>
      </c>
      <c r="M228" s="268" t="str">
        <f t="shared" si="14"/>
        <v>N/A</v>
      </c>
      <c r="N228" s="64" t="s">
        <v>757</v>
      </c>
      <c r="O228" s="253"/>
      <c r="P228" s="69"/>
    </row>
    <row r="229" spans="1:16" x14ac:dyDescent="0.3">
      <c r="A229" s="80">
        <v>3.0339999999999963</v>
      </c>
      <c r="B229" s="59" t="s">
        <v>114</v>
      </c>
      <c r="C229" s="59" t="s">
        <v>170</v>
      </c>
      <c r="D229" s="65">
        <v>106</v>
      </c>
      <c r="E229" s="65">
        <v>84</v>
      </c>
      <c r="F229" s="59"/>
      <c r="G229" s="59"/>
      <c r="H229" s="87" t="str">
        <f>IF(B229="Projects","N/A",IF(B229="Served","N/A",('Cost Basis'!E$3+('Cost Basis'!C$3*Model!D229))*(1+'Cost Basis'!F$3)))</f>
        <v>N/A</v>
      </c>
      <c r="I229" s="88" t="s">
        <v>403</v>
      </c>
      <c r="J229" s="88" t="s">
        <v>403</v>
      </c>
      <c r="K229" s="61"/>
      <c r="L229" s="62" t="str">
        <f>IF(K229=0,"N/A",(LOOKUP(I229,'Cost Basis'!A$4:A$13,'Cost Basis'!E$4:E$13)+IF(LOOKUP(Model!I229,'Cost Basis'!A$4:A$11)=I229,LOOKUP(Model!I229,'Cost Basis'!A$4:A$11,'Cost Basis'!C$4:C$11)*Model!K229*(1+LOOKUP(I229,'Cost Basis'!A$4:A$13,'Cost Basis'!F$3:F$13)),LOOKUP(Model!I229,'Cost Basis'!A$4:A$13,'Cost Basis'!C$4:C$13)*ROUNDUP(Model!K229/5280/30,0))*(1+LOOKUP(I229,'Cost Basis'!A$4:A$13,'Cost Basis'!F$4:F$13))))</f>
        <v>N/A</v>
      </c>
      <c r="M229" s="268" t="str">
        <f t="shared" si="14"/>
        <v>N/A</v>
      </c>
      <c r="N229" s="64" t="s">
        <v>758</v>
      </c>
      <c r="O229" s="253"/>
      <c r="P229" s="69"/>
    </row>
    <row r="230" spans="1:16" x14ac:dyDescent="0.3">
      <c r="A230" s="80">
        <v>3.0349999999999961</v>
      </c>
      <c r="B230" s="59" t="s">
        <v>114</v>
      </c>
      <c r="C230" s="59" t="s">
        <v>230</v>
      </c>
      <c r="D230" s="65">
        <v>75</v>
      </c>
      <c r="E230" s="65">
        <v>12</v>
      </c>
      <c r="F230" s="59"/>
      <c r="G230" s="59"/>
      <c r="H230" s="87" t="str">
        <f>IF(B230="Projects","N/A",IF(B230="Served","N/A",('Cost Basis'!E$3+('Cost Basis'!C$3*Model!D230))*(1+'Cost Basis'!F$3)))</f>
        <v>N/A</v>
      </c>
      <c r="I230" s="88" t="s">
        <v>403</v>
      </c>
      <c r="J230" s="88" t="s">
        <v>403</v>
      </c>
      <c r="K230" s="61"/>
      <c r="L230" s="62" t="str">
        <f>IF(K230=0,"N/A",(LOOKUP(I230,'Cost Basis'!A$4:A$13,'Cost Basis'!E$4:E$13)+IF(LOOKUP(Model!I230,'Cost Basis'!A$4:A$11)=I230,LOOKUP(Model!I230,'Cost Basis'!A$4:A$11,'Cost Basis'!C$4:C$11)*Model!K230*(1+LOOKUP(I230,'Cost Basis'!A$4:A$13,'Cost Basis'!F$3:F$13)),LOOKUP(Model!I230,'Cost Basis'!A$4:A$13,'Cost Basis'!C$4:C$13)*ROUNDUP(Model!K230/5280/30,0))*(1+LOOKUP(I230,'Cost Basis'!A$4:A$13,'Cost Basis'!F$4:F$13))))</f>
        <v>N/A</v>
      </c>
      <c r="M230" s="268" t="str">
        <f t="shared" si="14"/>
        <v>N/A</v>
      </c>
      <c r="N230" s="64" t="s">
        <v>759</v>
      </c>
      <c r="O230" s="253"/>
      <c r="P230" s="69"/>
    </row>
    <row r="231" spans="1:16" x14ac:dyDescent="0.3">
      <c r="A231" s="80">
        <v>3.035999999999996</v>
      </c>
      <c r="B231" s="59" t="s">
        <v>114</v>
      </c>
      <c r="C231" s="59" t="s">
        <v>238</v>
      </c>
      <c r="D231" s="65">
        <v>87</v>
      </c>
      <c r="E231" s="65">
        <v>61</v>
      </c>
      <c r="F231" s="59"/>
      <c r="G231" s="59"/>
      <c r="H231" s="87" t="str">
        <f>IF(B231="Projects","N/A",IF(B231="Served","N/A",('Cost Basis'!E$3+('Cost Basis'!C$3*Model!D231))*(1+'Cost Basis'!F$3)))</f>
        <v>N/A</v>
      </c>
      <c r="I231" s="88" t="s">
        <v>403</v>
      </c>
      <c r="J231" s="88" t="s">
        <v>403</v>
      </c>
      <c r="K231" s="61"/>
      <c r="L231" s="62" t="str">
        <f>IF(K231=0,"N/A",(LOOKUP(I231,'Cost Basis'!A$4:A$13,'Cost Basis'!E$4:E$13)+IF(LOOKUP(Model!I231,'Cost Basis'!A$4:A$11)=I231,LOOKUP(Model!I231,'Cost Basis'!A$4:A$11,'Cost Basis'!C$4:C$11)*Model!K231*(1+LOOKUP(I231,'Cost Basis'!A$4:A$13,'Cost Basis'!F$3:F$13)),LOOKUP(Model!I231,'Cost Basis'!A$4:A$13,'Cost Basis'!C$4:C$13)*ROUNDUP(Model!K231/5280/30,0))*(1+LOOKUP(I231,'Cost Basis'!A$4:A$13,'Cost Basis'!F$4:F$13))))</f>
        <v>N/A</v>
      </c>
      <c r="M231" s="268" t="str">
        <f t="shared" si="14"/>
        <v>N/A</v>
      </c>
      <c r="N231" s="64" t="s">
        <v>760</v>
      </c>
      <c r="O231" s="253"/>
      <c r="P231" s="69"/>
    </row>
    <row r="232" spans="1:16" x14ac:dyDescent="0.3">
      <c r="A232" s="80">
        <v>3.0369999999999959</v>
      </c>
      <c r="B232" s="59" t="s">
        <v>114</v>
      </c>
      <c r="C232" s="59" t="s">
        <v>231</v>
      </c>
      <c r="D232" s="65">
        <v>42</v>
      </c>
      <c r="E232" s="65">
        <v>33</v>
      </c>
      <c r="F232" s="59"/>
      <c r="G232" s="59"/>
      <c r="H232" s="87" t="str">
        <f>IF(B232="Projects","N/A",IF(B232="Served","N/A",('Cost Basis'!E$3+('Cost Basis'!C$3*Model!D232))*(1+'Cost Basis'!F$3)))</f>
        <v>N/A</v>
      </c>
      <c r="I232" s="88" t="s">
        <v>403</v>
      </c>
      <c r="J232" s="88" t="s">
        <v>403</v>
      </c>
      <c r="K232" s="61"/>
      <c r="L232" s="62" t="str">
        <f>IF(K232=0,"N/A",(LOOKUP(I232,'Cost Basis'!A$4:A$13,'Cost Basis'!E$4:E$13)+IF(LOOKUP(Model!I232,'Cost Basis'!A$4:A$11)=I232,LOOKUP(Model!I232,'Cost Basis'!A$4:A$11,'Cost Basis'!C$4:C$11)*Model!K232*(1+LOOKUP(I232,'Cost Basis'!A$4:A$13,'Cost Basis'!F$3:F$13)),LOOKUP(Model!I232,'Cost Basis'!A$4:A$13,'Cost Basis'!C$4:C$13)*ROUNDUP(Model!K232/5280/30,0))*(1+LOOKUP(I232,'Cost Basis'!A$4:A$13,'Cost Basis'!F$4:F$13))))</f>
        <v>N/A</v>
      </c>
      <c r="M232" s="268" t="str">
        <f t="shared" si="14"/>
        <v>N/A</v>
      </c>
      <c r="N232" s="64" t="s">
        <v>761</v>
      </c>
      <c r="O232" s="253"/>
      <c r="P232" s="69"/>
    </row>
    <row r="233" spans="1:16" x14ac:dyDescent="0.3">
      <c r="A233" s="80">
        <v>3.0379999999999958</v>
      </c>
      <c r="B233" s="59" t="s">
        <v>114</v>
      </c>
      <c r="C233" s="59" t="s">
        <v>275</v>
      </c>
      <c r="D233" s="65">
        <v>90</v>
      </c>
      <c r="E233" s="65">
        <v>72</v>
      </c>
      <c r="F233" s="59"/>
      <c r="G233" s="59"/>
      <c r="H233" s="87" t="str">
        <f>IF(B233="Projects","N/A",IF(B233="Served","N/A",('Cost Basis'!E$3+('Cost Basis'!C$3*Model!D233))*(1+'Cost Basis'!F$3)))</f>
        <v>N/A</v>
      </c>
      <c r="I233" s="88" t="s">
        <v>403</v>
      </c>
      <c r="J233" s="88" t="s">
        <v>403</v>
      </c>
      <c r="K233" s="61"/>
      <c r="L233" s="62" t="str">
        <f>IF(K233=0,"N/A",(LOOKUP(I233,'Cost Basis'!A$4:A$13,'Cost Basis'!E$4:E$13)+IF(LOOKUP(Model!I233,'Cost Basis'!A$4:A$11)=I233,LOOKUP(Model!I233,'Cost Basis'!A$4:A$11,'Cost Basis'!C$4:C$11)*Model!K233*(1+LOOKUP(I233,'Cost Basis'!A$4:A$13,'Cost Basis'!F$3:F$13)),LOOKUP(Model!I233,'Cost Basis'!A$4:A$13,'Cost Basis'!C$4:C$13)*ROUNDUP(Model!K233/5280/30,0))*(1+LOOKUP(I233,'Cost Basis'!A$4:A$13,'Cost Basis'!F$4:F$13))))</f>
        <v>N/A</v>
      </c>
      <c r="M233" s="268" t="str">
        <f t="shared" si="14"/>
        <v>N/A</v>
      </c>
      <c r="N233" s="64" t="s">
        <v>762</v>
      </c>
      <c r="O233" s="253"/>
      <c r="P233" s="69"/>
    </row>
    <row r="234" spans="1:16" x14ac:dyDescent="0.3">
      <c r="A234" s="80">
        <v>3.0389999999999957</v>
      </c>
      <c r="B234" s="59" t="s">
        <v>114</v>
      </c>
      <c r="C234" s="59" t="s">
        <v>119</v>
      </c>
      <c r="D234" s="65">
        <v>119</v>
      </c>
      <c r="E234" s="65">
        <v>77</v>
      </c>
      <c r="F234" s="59"/>
      <c r="G234" s="59"/>
      <c r="H234" s="87" t="str">
        <f>IF(B234="Projects","N/A",IF(B234="Served","N/A",('Cost Basis'!E$3+('Cost Basis'!C$3*Model!D234))*(1+'Cost Basis'!F$3)))</f>
        <v>N/A</v>
      </c>
      <c r="I234" s="88" t="s">
        <v>403</v>
      </c>
      <c r="J234" s="88" t="s">
        <v>403</v>
      </c>
      <c r="K234" s="61"/>
      <c r="L234" s="62" t="str">
        <f>IF(K234=0,"N/A",(LOOKUP(I234,'Cost Basis'!A$4:A$13,'Cost Basis'!E$4:E$13)+IF(LOOKUP(Model!I234,'Cost Basis'!A$4:A$11)=I234,LOOKUP(Model!I234,'Cost Basis'!A$4:A$11,'Cost Basis'!C$4:C$11)*Model!K234*(1+LOOKUP(I234,'Cost Basis'!A$4:A$13,'Cost Basis'!F$3:F$13)),LOOKUP(Model!I234,'Cost Basis'!A$4:A$13,'Cost Basis'!C$4:C$13)*ROUNDUP(Model!K234/5280/30,0))*(1+LOOKUP(I234,'Cost Basis'!A$4:A$13,'Cost Basis'!F$4:F$13))))</f>
        <v>N/A</v>
      </c>
      <c r="M234" s="268" t="str">
        <f t="shared" si="14"/>
        <v>N/A</v>
      </c>
      <c r="N234" s="64" t="s">
        <v>763</v>
      </c>
      <c r="O234" s="253"/>
      <c r="P234" s="69"/>
    </row>
    <row r="235" spans="1:16" x14ac:dyDescent="0.3">
      <c r="A235" s="80">
        <v>3.0399999999999956</v>
      </c>
      <c r="B235" s="59" t="s">
        <v>114</v>
      </c>
      <c r="C235" s="59" t="s">
        <v>252</v>
      </c>
      <c r="D235" s="65">
        <v>386</v>
      </c>
      <c r="E235" s="65">
        <v>335</v>
      </c>
      <c r="F235" s="59"/>
      <c r="G235" s="59"/>
      <c r="H235" s="87" t="str">
        <f>IF(B235="Projects","N/A",IF(B235="Served","N/A",('Cost Basis'!E$3+('Cost Basis'!C$3*Model!D235))*(1+'Cost Basis'!F$3)))</f>
        <v>N/A</v>
      </c>
      <c r="I235" s="88" t="s">
        <v>403</v>
      </c>
      <c r="J235" s="88" t="s">
        <v>403</v>
      </c>
      <c r="K235" s="61"/>
      <c r="L235" s="62" t="str">
        <f>IF(K235=0,"N/A",(LOOKUP(I235,'Cost Basis'!A$4:A$13,'Cost Basis'!E$4:E$13)+IF(LOOKUP(Model!I235,'Cost Basis'!A$4:A$11)=I235,LOOKUP(Model!I235,'Cost Basis'!A$4:A$11,'Cost Basis'!C$4:C$11)*Model!K235*(1+LOOKUP(I235,'Cost Basis'!A$4:A$13,'Cost Basis'!F$3:F$13)),LOOKUP(Model!I235,'Cost Basis'!A$4:A$13,'Cost Basis'!C$4:C$13)*ROUNDUP(Model!K235/5280/30,0))*(1+LOOKUP(I235,'Cost Basis'!A$4:A$13,'Cost Basis'!F$4:F$13))))</f>
        <v>N/A</v>
      </c>
      <c r="M235" s="268" t="str">
        <f t="shared" si="14"/>
        <v>N/A</v>
      </c>
      <c r="N235" s="64" t="s">
        <v>764</v>
      </c>
      <c r="O235" s="253"/>
      <c r="P235" s="69"/>
    </row>
    <row r="236" spans="1:16" x14ac:dyDescent="0.3">
      <c r="A236" s="80">
        <v>3.0409999999999955</v>
      </c>
      <c r="B236" s="59" t="s">
        <v>114</v>
      </c>
      <c r="C236" s="59" t="s">
        <v>241</v>
      </c>
      <c r="D236" s="65">
        <v>305</v>
      </c>
      <c r="E236" s="65">
        <v>134</v>
      </c>
      <c r="F236" s="59"/>
      <c r="G236" s="59"/>
      <c r="H236" s="87" t="str">
        <f>IF(B236="Projects","N/A",IF(B236="Served","N/A",('Cost Basis'!E$3+('Cost Basis'!C$3*Model!D236))*(1+'Cost Basis'!F$3)))</f>
        <v>N/A</v>
      </c>
      <c r="I236" s="88" t="s">
        <v>403</v>
      </c>
      <c r="J236" s="88" t="s">
        <v>403</v>
      </c>
      <c r="K236" s="61"/>
      <c r="L236" s="62" t="str">
        <f>IF(K236=0,"N/A",(LOOKUP(I236,'Cost Basis'!A$4:A$13,'Cost Basis'!E$4:E$13)+IF(LOOKUP(Model!I236,'Cost Basis'!A$4:A$11)=I236,LOOKUP(Model!I236,'Cost Basis'!A$4:A$11,'Cost Basis'!C$4:C$11)*Model!K236*(1+LOOKUP(I236,'Cost Basis'!A$4:A$13,'Cost Basis'!F$3:F$13)),LOOKUP(Model!I236,'Cost Basis'!A$4:A$13,'Cost Basis'!C$4:C$13)*ROUNDUP(Model!K236/5280/30,0))*(1+LOOKUP(I236,'Cost Basis'!A$4:A$13,'Cost Basis'!F$4:F$13))))</f>
        <v>N/A</v>
      </c>
      <c r="M236" s="268" t="str">
        <f t="shared" si="14"/>
        <v>N/A</v>
      </c>
      <c r="N236" s="64" t="s">
        <v>765</v>
      </c>
      <c r="O236" s="253"/>
      <c r="P236" s="69"/>
    </row>
    <row r="237" spans="1:16" x14ac:dyDescent="0.3">
      <c r="A237" s="80">
        <v>3.0419999999999954</v>
      </c>
      <c r="B237" s="59" t="s">
        <v>114</v>
      </c>
      <c r="C237" s="59" t="s">
        <v>118</v>
      </c>
      <c r="D237" s="65">
        <v>158</v>
      </c>
      <c r="E237" s="65">
        <v>137</v>
      </c>
      <c r="F237" s="59"/>
      <c r="G237" s="59"/>
      <c r="H237" s="87" t="str">
        <f>IF(B237="Projects","N/A",IF(B237="Served","N/A",('Cost Basis'!E$3+('Cost Basis'!C$3*Model!D237))*(1+'Cost Basis'!F$3)))</f>
        <v>N/A</v>
      </c>
      <c r="I237" s="88" t="s">
        <v>403</v>
      </c>
      <c r="J237" s="88" t="s">
        <v>403</v>
      </c>
      <c r="K237" s="61"/>
      <c r="L237" s="62" t="str">
        <f>IF(K237=0,"N/A",(LOOKUP(I237,'Cost Basis'!A$4:A$13,'Cost Basis'!E$4:E$13)+IF(LOOKUP(Model!I237,'Cost Basis'!A$4:A$11)=I237,LOOKUP(Model!I237,'Cost Basis'!A$4:A$11,'Cost Basis'!C$4:C$11)*Model!K237*(1+LOOKUP(I237,'Cost Basis'!A$4:A$13,'Cost Basis'!F$3:F$13)),LOOKUP(Model!I237,'Cost Basis'!A$4:A$13,'Cost Basis'!C$4:C$13)*ROUNDUP(Model!K237/5280/30,0))*(1+LOOKUP(I237,'Cost Basis'!A$4:A$13,'Cost Basis'!F$4:F$13))))</f>
        <v>N/A</v>
      </c>
      <c r="M237" s="268" t="str">
        <f t="shared" si="14"/>
        <v>N/A</v>
      </c>
      <c r="N237" s="64" t="s">
        <v>766</v>
      </c>
      <c r="O237" s="253"/>
      <c r="P237" s="69"/>
    </row>
    <row r="238" spans="1:16" x14ac:dyDescent="0.3">
      <c r="A238" s="80">
        <v>3.0429999999999953</v>
      </c>
      <c r="B238" s="59" t="s">
        <v>114</v>
      </c>
      <c r="C238" s="59" t="s">
        <v>232</v>
      </c>
      <c r="D238" s="65">
        <v>379</v>
      </c>
      <c r="E238" s="65">
        <v>302</v>
      </c>
      <c r="F238" s="59"/>
      <c r="G238" s="59"/>
      <c r="H238" s="87" t="str">
        <f>IF(B238="Projects","N/A",IF(B238="Served","N/A",('Cost Basis'!E$3+('Cost Basis'!C$3*Model!D238))*(1+'Cost Basis'!F$3)))</f>
        <v>N/A</v>
      </c>
      <c r="I238" s="88" t="s">
        <v>403</v>
      </c>
      <c r="J238" s="88" t="s">
        <v>403</v>
      </c>
      <c r="K238" s="61"/>
      <c r="L238" s="62" t="str">
        <f>IF(K238=0,"N/A",(LOOKUP(I238,'Cost Basis'!A$4:A$13,'Cost Basis'!E$4:E$13)+IF(LOOKUP(Model!I238,'Cost Basis'!A$4:A$11)=I238,LOOKUP(Model!I238,'Cost Basis'!A$4:A$11,'Cost Basis'!C$4:C$11)*Model!K238*(1+LOOKUP(I238,'Cost Basis'!A$4:A$13,'Cost Basis'!F$3:F$13)),LOOKUP(Model!I238,'Cost Basis'!A$4:A$13,'Cost Basis'!C$4:C$13)*ROUNDUP(Model!K238/5280/30,0))*(1+LOOKUP(I238,'Cost Basis'!A$4:A$13,'Cost Basis'!F$4:F$13))))</f>
        <v>N/A</v>
      </c>
      <c r="M238" s="268" t="str">
        <f t="shared" si="14"/>
        <v>N/A</v>
      </c>
      <c r="N238" s="64" t="s">
        <v>767</v>
      </c>
      <c r="O238" s="253"/>
      <c r="P238" s="69"/>
    </row>
    <row r="239" spans="1:16" x14ac:dyDescent="0.3">
      <c r="A239" s="80">
        <v>3.0439999999999952</v>
      </c>
      <c r="B239" s="59" t="s">
        <v>114</v>
      </c>
      <c r="C239" s="59" t="s">
        <v>233</v>
      </c>
      <c r="D239" s="66">
        <v>-20</v>
      </c>
      <c r="E239" s="66"/>
      <c r="F239" s="59"/>
      <c r="G239" s="59"/>
      <c r="H239" s="87" t="str">
        <f>IF(B239="Projects","N/A",IF(B239="Served","N/A",('Cost Basis'!E$3+('Cost Basis'!C$3*Model!D239))*(1+'Cost Basis'!F$3)))</f>
        <v>N/A</v>
      </c>
      <c r="I239" s="88" t="s">
        <v>403</v>
      </c>
      <c r="J239" s="88" t="s">
        <v>403</v>
      </c>
      <c r="K239" s="61"/>
      <c r="L239" s="62" t="str">
        <f>IF(K239=0,"N/A",(LOOKUP(I239,'Cost Basis'!A$4:A$13,'Cost Basis'!E$4:E$13)+IF(LOOKUP(Model!I239,'Cost Basis'!A$4:A$11)=I239,LOOKUP(Model!I239,'Cost Basis'!A$4:A$11,'Cost Basis'!C$4:C$11)*Model!K239*(1+LOOKUP(I239,'Cost Basis'!A$4:A$13,'Cost Basis'!F$3:F$13)),LOOKUP(Model!I239,'Cost Basis'!A$4:A$13,'Cost Basis'!C$4:C$13)*ROUNDUP(Model!K239/5280/30,0))*(1+LOOKUP(I239,'Cost Basis'!A$4:A$13,'Cost Basis'!F$4:F$13))))</f>
        <v>N/A</v>
      </c>
      <c r="M239" s="268" t="str">
        <f t="shared" si="14"/>
        <v>N/A</v>
      </c>
      <c r="N239" s="64" t="s">
        <v>768</v>
      </c>
      <c r="O239" s="253"/>
      <c r="P239" s="69"/>
    </row>
    <row r="240" spans="1:16" x14ac:dyDescent="0.3">
      <c r="A240" s="80">
        <v>3.044999999999995</v>
      </c>
      <c r="B240" s="59" t="s">
        <v>114</v>
      </c>
      <c r="C240" s="59" t="s">
        <v>234</v>
      </c>
      <c r="D240" s="65">
        <v>54</v>
      </c>
      <c r="E240" s="65">
        <v>29</v>
      </c>
      <c r="F240" s="59"/>
      <c r="G240" s="59"/>
      <c r="H240" s="87" t="str">
        <f>IF(B240="Projects","N/A",IF(B240="Served","N/A",('Cost Basis'!E$3+('Cost Basis'!C$3*Model!D240))*(1+'Cost Basis'!F$3)))</f>
        <v>N/A</v>
      </c>
      <c r="I240" s="88" t="s">
        <v>403</v>
      </c>
      <c r="J240" s="88" t="s">
        <v>403</v>
      </c>
      <c r="K240" s="61"/>
      <c r="L240" s="62" t="str">
        <f>IF(K240=0,"N/A",(LOOKUP(I240,'Cost Basis'!A$4:A$13,'Cost Basis'!E$4:E$13)+IF(LOOKUP(Model!I240,'Cost Basis'!A$4:A$11)=I240,LOOKUP(Model!I240,'Cost Basis'!A$4:A$11,'Cost Basis'!C$4:C$11)*Model!K240*(1+LOOKUP(I240,'Cost Basis'!A$4:A$13,'Cost Basis'!F$3:F$13)),LOOKUP(Model!I240,'Cost Basis'!A$4:A$13,'Cost Basis'!C$4:C$13)*ROUNDUP(Model!K240/5280/30,0))*(1+LOOKUP(I240,'Cost Basis'!A$4:A$13,'Cost Basis'!F$4:F$13))))</f>
        <v>N/A</v>
      </c>
      <c r="M240" s="268" t="str">
        <f t="shared" si="14"/>
        <v>N/A</v>
      </c>
      <c r="N240" s="64" t="s">
        <v>769</v>
      </c>
      <c r="O240" s="253"/>
      <c r="P240" s="69"/>
    </row>
    <row r="241" spans="1:16" x14ac:dyDescent="0.3">
      <c r="A241" s="80">
        <v>3.0459999999999949</v>
      </c>
      <c r="B241" s="59" t="s">
        <v>114</v>
      </c>
      <c r="C241" s="59" t="s">
        <v>120</v>
      </c>
      <c r="D241" s="65">
        <v>46</v>
      </c>
      <c r="E241" s="65">
        <v>32</v>
      </c>
      <c r="F241" s="59"/>
      <c r="G241" s="59"/>
      <c r="H241" s="87" t="str">
        <f>IF(B241="Projects","N/A",IF(B241="Served","N/A",('Cost Basis'!E$3+('Cost Basis'!C$3*Model!D241))*(1+'Cost Basis'!F$3)))</f>
        <v>N/A</v>
      </c>
      <c r="I241" s="88" t="s">
        <v>403</v>
      </c>
      <c r="J241" s="88" t="s">
        <v>403</v>
      </c>
      <c r="K241" s="61"/>
      <c r="L241" s="62" t="str">
        <f>IF(K241=0,"N/A",(LOOKUP(I241,'Cost Basis'!A$4:A$13,'Cost Basis'!E$4:E$13)+IF(LOOKUP(Model!I241,'Cost Basis'!A$4:A$11)=I241,LOOKUP(Model!I241,'Cost Basis'!A$4:A$11,'Cost Basis'!C$4:C$11)*Model!K241*(1+LOOKUP(I241,'Cost Basis'!A$4:A$13,'Cost Basis'!F$3:F$13)),LOOKUP(Model!I241,'Cost Basis'!A$4:A$13,'Cost Basis'!C$4:C$13)*ROUNDUP(Model!K241/5280/30,0))*(1+LOOKUP(I241,'Cost Basis'!A$4:A$13,'Cost Basis'!F$4:F$13))))</f>
        <v>N/A</v>
      </c>
      <c r="M241" s="268" t="str">
        <f t="shared" si="14"/>
        <v>N/A</v>
      </c>
      <c r="N241" s="64" t="s">
        <v>770</v>
      </c>
      <c r="O241" s="253"/>
      <c r="P241" s="69"/>
    </row>
    <row r="242" spans="1:16" x14ac:dyDescent="0.3">
      <c r="A242" s="80">
        <v>3.0469999999999948</v>
      </c>
      <c r="B242" s="59" t="s">
        <v>114</v>
      </c>
      <c r="C242" s="59" t="s">
        <v>242</v>
      </c>
      <c r="D242" s="65">
        <v>66</v>
      </c>
      <c r="E242" s="65">
        <v>61</v>
      </c>
      <c r="F242" s="59"/>
      <c r="G242" s="59"/>
      <c r="H242" s="87" t="str">
        <f>IF(B242="Projects","N/A",IF(B242="Served","N/A",('Cost Basis'!E$3+('Cost Basis'!C$3*Model!D242))*(1+'Cost Basis'!F$3)))</f>
        <v>N/A</v>
      </c>
      <c r="I242" s="88" t="s">
        <v>403</v>
      </c>
      <c r="J242" s="88" t="s">
        <v>403</v>
      </c>
      <c r="K242" s="61"/>
      <c r="L242" s="62" t="str">
        <f>IF(K242=0,"N/A",(LOOKUP(I242,'Cost Basis'!A$4:A$13,'Cost Basis'!E$4:E$13)+IF(LOOKUP(Model!I242,'Cost Basis'!A$4:A$11)=I242,LOOKUP(Model!I242,'Cost Basis'!A$4:A$11,'Cost Basis'!C$4:C$11)*Model!K242*(1+LOOKUP(I242,'Cost Basis'!A$4:A$13,'Cost Basis'!F$3:F$13)),LOOKUP(Model!I242,'Cost Basis'!A$4:A$13,'Cost Basis'!C$4:C$13)*ROUNDUP(Model!K242/5280/30,0))*(1+LOOKUP(I242,'Cost Basis'!A$4:A$13,'Cost Basis'!F$4:F$13))))</f>
        <v>N/A</v>
      </c>
      <c r="M242" s="268" t="str">
        <f t="shared" si="14"/>
        <v>N/A</v>
      </c>
      <c r="N242" s="64" t="s">
        <v>771</v>
      </c>
      <c r="O242" s="253"/>
      <c r="P242" s="69"/>
    </row>
    <row r="243" spans="1:16" x14ac:dyDescent="0.3">
      <c r="A243" s="80">
        <v>3.0479999999999947</v>
      </c>
      <c r="B243" s="59" t="s">
        <v>114</v>
      </c>
      <c r="C243" s="59" t="s">
        <v>243</v>
      </c>
      <c r="D243" s="65">
        <v>154</v>
      </c>
      <c r="E243" s="65">
        <v>99</v>
      </c>
      <c r="F243" s="59"/>
      <c r="G243" s="59"/>
      <c r="H243" s="87" t="str">
        <f>IF(B243="Projects","N/A",IF(B243="Served","N/A",('Cost Basis'!E$3+('Cost Basis'!C$3*Model!D243))*(1+'Cost Basis'!F$3)))</f>
        <v>N/A</v>
      </c>
      <c r="I243" s="88" t="s">
        <v>403</v>
      </c>
      <c r="J243" s="88" t="s">
        <v>403</v>
      </c>
      <c r="K243" s="61"/>
      <c r="L243" s="62" t="str">
        <f>IF(K243=0,"N/A",(LOOKUP(I243,'Cost Basis'!A$4:A$13,'Cost Basis'!E$4:E$13)+IF(LOOKUP(Model!I243,'Cost Basis'!A$4:A$11)=I243,LOOKUP(Model!I243,'Cost Basis'!A$4:A$11,'Cost Basis'!C$4:C$11)*Model!K243*(1+LOOKUP(I243,'Cost Basis'!A$4:A$13,'Cost Basis'!F$3:F$13)),LOOKUP(Model!I243,'Cost Basis'!A$4:A$13,'Cost Basis'!C$4:C$13)*ROUNDUP(Model!K243/5280/30,0))*(1+LOOKUP(I243,'Cost Basis'!A$4:A$13,'Cost Basis'!F$4:F$13))))</f>
        <v>N/A</v>
      </c>
      <c r="M243" s="268" t="str">
        <f t="shared" si="14"/>
        <v>N/A</v>
      </c>
      <c r="N243" s="64" t="s">
        <v>772</v>
      </c>
      <c r="O243" s="253"/>
      <c r="P243" s="69"/>
    </row>
    <row r="244" spans="1:16" x14ac:dyDescent="0.3">
      <c r="A244" s="80">
        <v>3.0489999999999946</v>
      </c>
      <c r="B244" s="59" t="s">
        <v>114</v>
      </c>
      <c r="C244" s="59" t="s">
        <v>253</v>
      </c>
      <c r="D244" s="65">
        <v>83</v>
      </c>
      <c r="E244" s="65">
        <v>21</v>
      </c>
      <c r="F244" s="59"/>
      <c r="G244" s="59"/>
      <c r="H244" s="87" t="str">
        <f>IF(B244="Projects","N/A",IF(B244="Served","N/A",('Cost Basis'!E$3+('Cost Basis'!C$3*Model!D244))*(1+'Cost Basis'!F$3)))</f>
        <v>N/A</v>
      </c>
      <c r="I244" s="88" t="s">
        <v>403</v>
      </c>
      <c r="J244" s="88" t="s">
        <v>403</v>
      </c>
      <c r="K244" s="61"/>
      <c r="L244" s="62" t="str">
        <f>IF(K244=0,"N/A",(LOOKUP(I244,'Cost Basis'!A$4:A$13,'Cost Basis'!E$4:E$13)+IF(LOOKUP(Model!I244,'Cost Basis'!A$4:A$11)=I244,LOOKUP(Model!I244,'Cost Basis'!A$4:A$11,'Cost Basis'!C$4:C$11)*Model!K244*(1+LOOKUP(I244,'Cost Basis'!A$4:A$13,'Cost Basis'!F$3:F$13)),LOOKUP(Model!I244,'Cost Basis'!A$4:A$13,'Cost Basis'!C$4:C$13)*ROUNDUP(Model!K244/5280/30,0))*(1+LOOKUP(I244,'Cost Basis'!A$4:A$13,'Cost Basis'!F$4:F$13))))</f>
        <v>N/A</v>
      </c>
      <c r="M244" s="268" t="str">
        <f t="shared" si="14"/>
        <v>N/A</v>
      </c>
      <c r="N244" s="64" t="s">
        <v>773</v>
      </c>
      <c r="O244" s="253"/>
      <c r="P244" s="69"/>
    </row>
    <row r="245" spans="1:16" x14ac:dyDescent="0.3">
      <c r="A245" s="80">
        <v>3.0499999999999945</v>
      </c>
      <c r="B245" s="59" t="s">
        <v>114</v>
      </c>
      <c r="C245" s="59" t="s">
        <v>244</v>
      </c>
      <c r="D245" s="65">
        <v>44</v>
      </c>
      <c r="E245" s="65">
        <v>26</v>
      </c>
      <c r="F245" s="59"/>
      <c r="G245" s="59"/>
      <c r="H245" s="87" t="str">
        <f>IF(B245="Projects","N/A",IF(B245="Served","N/A",('Cost Basis'!E$3+('Cost Basis'!C$3*Model!D245))*(1+'Cost Basis'!F$3)))</f>
        <v>N/A</v>
      </c>
      <c r="I245" s="88" t="s">
        <v>403</v>
      </c>
      <c r="J245" s="88" t="s">
        <v>403</v>
      </c>
      <c r="K245" s="61"/>
      <c r="L245" s="62" t="str">
        <f>IF(K245=0,"N/A",(LOOKUP(I245,'Cost Basis'!A$4:A$13,'Cost Basis'!E$4:E$13)+IF(LOOKUP(Model!I245,'Cost Basis'!A$4:A$11)=I245,LOOKUP(Model!I245,'Cost Basis'!A$4:A$11,'Cost Basis'!C$4:C$11)*Model!K245*(1+LOOKUP(I245,'Cost Basis'!A$4:A$13,'Cost Basis'!F$3:F$13)),LOOKUP(Model!I245,'Cost Basis'!A$4:A$13,'Cost Basis'!C$4:C$13)*ROUNDUP(Model!K245/5280/30,0))*(1+LOOKUP(I245,'Cost Basis'!A$4:A$13,'Cost Basis'!F$4:F$13))))</f>
        <v>N/A</v>
      </c>
      <c r="M245" s="268" t="str">
        <f t="shared" si="14"/>
        <v>N/A</v>
      </c>
      <c r="N245" s="64" t="s">
        <v>774</v>
      </c>
      <c r="O245" s="253"/>
      <c r="P245" s="69"/>
    </row>
    <row r="246" spans="1:16" x14ac:dyDescent="0.3">
      <c r="A246" s="80">
        <v>3.0509999999999944</v>
      </c>
      <c r="B246" s="59" t="s">
        <v>114</v>
      </c>
      <c r="C246" s="59" t="s">
        <v>217</v>
      </c>
      <c r="D246" s="65">
        <v>79</v>
      </c>
      <c r="E246" s="65">
        <v>65</v>
      </c>
      <c r="F246" s="59"/>
      <c r="G246" s="59"/>
      <c r="H246" s="87" t="str">
        <f>IF(B246="Projects","N/A",IF(B246="Served","N/A",('Cost Basis'!E$3+('Cost Basis'!C$3*Model!D246))*(1+'Cost Basis'!F$3)))</f>
        <v>N/A</v>
      </c>
      <c r="I246" s="88" t="s">
        <v>403</v>
      </c>
      <c r="J246" s="88" t="s">
        <v>403</v>
      </c>
      <c r="K246" s="61"/>
      <c r="L246" s="62" t="str">
        <f>IF(K246=0,"N/A",(LOOKUP(I246,'Cost Basis'!A$4:A$13,'Cost Basis'!E$4:E$13)+IF(LOOKUP(Model!I246,'Cost Basis'!A$4:A$11)=I246,LOOKUP(Model!I246,'Cost Basis'!A$4:A$11,'Cost Basis'!C$4:C$11)*Model!K246*(1+LOOKUP(I246,'Cost Basis'!A$4:A$13,'Cost Basis'!F$3:F$13)),LOOKUP(Model!I246,'Cost Basis'!A$4:A$13,'Cost Basis'!C$4:C$13)*ROUNDUP(Model!K246/5280/30,0))*(1+LOOKUP(I246,'Cost Basis'!A$4:A$13,'Cost Basis'!F$4:F$13))))</f>
        <v>N/A</v>
      </c>
      <c r="M246" s="268" t="str">
        <f t="shared" si="14"/>
        <v>N/A</v>
      </c>
      <c r="N246" s="64" t="s">
        <v>775</v>
      </c>
      <c r="O246" s="253"/>
      <c r="P246" s="69"/>
    </row>
    <row r="247" spans="1:16" x14ac:dyDescent="0.3">
      <c r="A247" s="80">
        <v>3.0519999999999943</v>
      </c>
      <c r="B247" s="59" t="s">
        <v>114</v>
      </c>
      <c r="C247" s="59" t="s">
        <v>273</v>
      </c>
      <c r="D247" s="65">
        <v>262</v>
      </c>
      <c r="E247" s="65">
        <v>158</v>
      </c>
      <c r="F247" s="59"/>
      <c r="G247" s="59"/>
      <c r="H247" s="87" t="str">
        <f>IF(B247="Projects","N/A",IF(B247="Served","N/A",('Cost Basis'!E$3+('Cost Basis'!C$3*Model!D247))*(1+'Cost Basis'!F$3)))</f>
        <v>N/A</v>
      </c>
      <c r="I247" s="88" t="s">
        <v>403</v>
      </c>
      <c r="J247" s="88" t="s">
        <v>403</v>
      </c>
      <c r="K247" s="61"/>
      <c r="L247" s="62" t="str">
        <f>IF(K247=0,"N/A",(LOOKUP(I247,'Cost Basis'!A$4:A$13,'Cost Basis'!E$4:E$13)+IF(LOOKUP(Model!I247,'Cost Basis'!A$4:A$11)=I247,LOOKUP(Model!I247,'Cost Basis'!A$4:A$11,'Cost Basis'!C$4:C$11)*Model!K247*(1+LOOKUP(I247,'Cost Basis'!A$4:A$13,'Cost Basis'!F$3:F$13)),LOOKUP(Model!I247,'Cost Basis'!A$4:A$13,'Cost Basis'!C$4:C$13)*ROUNDUP(Model!K247/5280/30,0))*(1+LOOKUP(I247,'Cost Basis'!A$4:A$13,'Cost Basis'!F$4:F$13))))</f>
        <v>N/A</v>
      </c>
      <c r="M247" s="268" t="str">
        <f t="shared" si="14"/>
        <v>N/A</v>
      </c>
      <c r="N247" s="64" t="s">
        <v>776</v>
      </c>
      <c r="O247" s="253"/>
      <c r="P247" s="69"/>
    </row>
    <row r="248" spans="1:16" x14ac:dyDescent="0.3">
      <c r="A248" s="80">
        <v>3.0529999999999942</v>
      </c>
      <c r="B248" s="59" t="s">
        <v>114</v>
      </c>
      <c r="C248" s="59" t="s">
        <v>207</v>
      </c>
      <c r="D248" s="65">
        <v>504</v>
      </c>
      <c r="E248" s="65">
        <v>440</v>
      </c>
      <c r="F248" s="59"/>
      <c r="G248" s="59"/>
      <c r="H248" s="87" t="str">
        <f>IF(B248="Projects","N/A",IF(B248="Served","N/A",('Cost Basis'!E$3+('Cost Basis'!C$3*Model!D248))*(1+'Cost Basis'!F$3)))</f>
        <v>N/A</v>
      </c>
      <c r="I248" s="88" t="s">
        <v>403</v>
      </c>
      <c r="J248" s="88" t="s">
        <v>403</v>
      </c>
      <c r="K248" s="61"/>
      <c r="L248" s="62" t="str">
        <f>IF(K248=0,"N/A",(LOOKUP(I248,'Cost Basis'!A$4:A$13,'Cost Basis'!E$4:E$13)+IF(LOOKUP(Model!I248,'Cost Basis'!A$4:A$11)=I248,LOOKUP(Model!I248,'Cost Basis'!A$4:A$11,'Cost Basis'!C$4:C$11)*Model!K248*(1+LOOKUP(I248,'Cost Basis'!A$4:A$13,'Cost Basis'!F$3:F$13)),LOOKUP(Model!I248,'Cost Basis'!A$4:A$13,'Cost Basis'!C$4:C$13)*ROUNDUP(Model!K248/5280/30,0))*(1+LOOKUP(I248,'Cost Basis'!A$4:A$13,'Cost Basis'!F$4:F$13))))</f>
        <v>N/A</v>
      </c>
      <c r="M248" s="268" t="str">
        <f t="shared" si="14"/>
        <v>N/A</v>
      </c>
      <c r="N248" s="64" t="s">
        <v>777</v>
      </c>
      <c r="O248" s="253"/>
      <c r="P248" s="69"/>
    </row>
    <row r="249" spans="1:16" x14ac:dyDescent="0.3">
      <c r="A249" s="80">
        <v>3.0539999999999941</v>
      </c>
      <c r="B249" s="59" t="s">
        <v>114</v>
      </c>
      <c r="C249" s="59" t="s">
        <v>235</v>
      </c>
      <c r="D249" s="65">
        <v>271</v>
      </c>
      <c r="E249" s="65">
        <v>131</v>
      </c>
      <c r="F249" s="59"/>
      <c r="G249" s="59"/>
      <c r="H249" s="87" t="str">
        <f>IF(B249="Projects","N/A",IF(B249="Served","N/A",('Cost Basis'!E$3+('Cost Basis'!C$3*Model!D249))*(1+'Cost Basis'!F$3)))</f>
        <v>N/A</v>
      </c>
      <c r="I249" s="88" t="s">
        <v>403</v>
      </c>
      <c r="J249" s="88" t="s">
        <v>403</v>
      </c>
      <c r="K249" s="61"/>
      <c r="L249" s="62" t="str">
        <f>IF(K249=0,"N/A",(LOOKUP(I249,'Cost Basis'!A$4:A$13,'Cost Basis'!E$4:E$13)+IF(LOOKUP(Model!I249,'Cost Basis'!A$4:A$11)=I249,LOOKUP(Model!I249,'Cost Basis'!A$4:A$11,'Cost Basis'!C$4:C$11)*Model!K249*(1+LOOKUP(I249,'Cost Basis'!A$4:A$13,'Cost Basis'!F$3:F$13)),LOOKUP(Model!I249,'Cost Basis'!A$4:A$13,'Cost Basis'!C$4:C$13)*ROUNDUP(Model!K249/5280/30,0))*(1+LOOKUP(I249,'Cost Basis'!A$4:A$13,'Cost Basis'!F$4:F$13))))</f>
        <v>N/A</v>
      </c>
      <c r="M249" s="268" t="str">
        <f t="shared" si="14"/>
        <v>N/A</v>
      </c>
      <c r="N249" s="64" t="s">
        <v>778</v>
      </c>
      <c r="O249" s="253"/>
      <c r="P249" s="69"/>
    </row>
    <row r="250" spans="1:16" x14ac:dyDescent="0.3">
      <c r="A250" s="80">
        <v>3.0549999999999939</v>
      </c>
      <c r="B250" s="59" t="s">
        <v>114</v>
      </c>
      <c r="C250" s="59" t="s">
        <v>245</v>
      </c>
      <c r="D250" s="61">
        <v>409</v>
      </c>
      <c r="E250" s="61">
        <v>133</v>
      </c>
      <c r="F250" s="59"/>
      <c r="G250" s="59"/>
      <c r="H250" s="87" t="str">
        <f>IF(B250="Projects","N/A",IF(B250="Served","N/A",('Cost Basis'!E$3+('Cost Basis'!C$3*Model!D250))*(1+'Cost Basis'!F$3)))</f>
        <v>N/A</v>
      </c>
      <c r="I250" s="88" t="s">
        <v>403</v>
      </c>
      <c r="J250" s="88" t="s">
        <v>403</v>
      </c>
      <c r="K250" s="61"/>
      <c r="L250" s="62" t="str">
        <f>IF(K250=0,"N/A",(LOOKUP(I250,'Cost Basis'!A$4:A$13,'Cost Basis'!E$4:E$13)+IF(LOOKUP(Model!I250,'Cost Basis'!A$4:A$11)=I250,LOOKUP(Model!I250,'Cost Basis'!A$4:A$11,'Cost Basis'!C$4:C$11)*Model!K250*(1+LOOKUP(I250,'Cost Basis'!A$4:A$13,'Cost Basis'!F$3:F$13)),LOOKUP(Model!I250,'Cost Basis'!A$4:A$13,'Cost Basis'!C$4:C$13)*ROUNDUP(Model!K250/5280/30,0))*(1+LOOKUP(I250,'Cost Basis'!A$4:A$13,'Cost Basis'!F$4:F$13))))</f>
        <v>N/A</v>
      </c>
      <c r="M250" s="268" t="str">
        <f t="shared" si="14"/>
        <v>N/A</v>
      </c>
      <c r="N250" s="64" t="s">
        <v>779</v>
      </c>
      <c r="O250" s="253"/>
      <c r="P250" s="69"/>
    </row>
    <row r="251" spans="1:16" x14ac:dyDescent="0.3">
      <c r="A251" s="80">
        <v>3.0559999999999938</v>
      </c>
      <c r="B251" s="59" t="s">
        <v>114</v>
      </c>
      <c r="C251" s="59" t="s">
        <v>218</v>
      </c>
      <c r="D251" s="65">
        <v>185</v>
      </c>
      <c r="E251" s="65">
        <v>163</v>
      </c>
      <c r="F251" s="59"/>
      <c r="G251" s="59"/>
      <c r="H251" s="87" t="str">
        <f>IF(B251="Projects","N/A",IF(B251="Served","N/A",('Cost Basis'!E$3+('Cost Basis'!C$3*Model!D251))*(1+'Cost Basis'!F$3)))</f>
        <v>N/A</v>
      </c>
      <c r="I251" s="88" t="s">
        <v>403</v>
      </c>
      <c r="J251" s="88" t="s">
        <v>403</v>
      </c>
      <c r="K251" s="61"/>
      <c r="L251" s="62" t="str">
        <f>IF(K251=0,"N/A",(LOOKUP(I251,'Cost Basis'!A$4:A$13,'Cost Basis'!E$4:E$13)+IF(LOOKUP(Model!I251,'Cost Basis'!A$4:A$11)=I251,LOOKUP(Model!I251,'Cost Basis'!A$4:A$11,'Cost Basis'!C$4:C$11)*Model!K251*(1+LOOKUP(I251,'Cost Basis'!A$4:A$13,'Cost Basis'!F$3:F$13)),LOOKUP(Model!I251,'Cost Basis'!A$4:A$13,'Cost Basis'!C$4:C$13)*ROUNDUP(Model!K251/5280/30,0))*(1+LOOKUP(I251,'Cost Basis'!A$4:A$13,'Cost Basis'!F$4:F$13))))</f>
        <v>N/A</v>
      </c>
      <c r="M251" s="268" t="str">
        <f t="shared" si="14"/>
        <v>N/A</v>
      </c>
      <c r="N251" s="64" t="s">
        <v>780</v>
      </c>
      <c r="O251" s="253"/>
      <c r="P251" s="69"/>
    </row>
    <row r="252" spans="1:16" x14ac:dyDescent="0.3">
      <c r="A252" s="80">
        <v>3.0569999999999937</v>
      </c>
      <c r="B252" s="59" t="s">
        <v>114</v>
      </c>
      <c r="C252" s="59" t="s">
        <v>258</v>
      </c>
      <c r="D252" s="65">
        <v>151</v>
      </c>
      <c r="E252" s="65">
        <v>116</v>
      </c>
      <c r="F252" s="59"/>
      <c r="G252" s="59"/>
      <c r="H252" s="87" t="str">
        <f>IF(B252="Projects","N/A",IF(B252="Served","N/A",('Cost Basis'!E$3+('Cost Basis'!C$3*Model!D252))*(1+'Cost Basis'!F$3)))</f>
        <v>N/A</v>
      </c>
      <c r="I252" s="88" t="s">
        <v>403</v>
      </c>
      <c r="J252" s="88" t="s">
        <v>403</v>
      </c>
      <c r="K252" s="61"/>
      <c r="L252" s="62" t="str">
        <f>IF(K252=0,"N/A",(LOOKUP(I252,'Cost Basis'!A$4:A$13,'Cost Basis'!E$4:E$13)+IF(LOOKUP(Model!I252,'Cost Basis'!A$4:A$11)=I252,LOOKUP(Model!I252,'Cost Basis'!A$4:A$11,'Cost Basis'!C$4:C$11)*Model!K252*(1+LOOKUP(I252,'Cost Basis'!A$4:A$13,'Cost Basis'!F$3:F$13)),LOOKUP(Model!I252,'Cost Basis'!A$4:A$13,'Cost Basis'!C$4:C$13)*ROUNDUP(Model!K252/5280/30,0))*(1+LOOKUP(I252,'Cost Basis'!A$4:A$13,'Cost Basis'!F$4:F$13))))</f>
        <v>N/A</v>
      </c>
      <c r="M252" s="268" t="str">
        <f t="shared" si="14"/>
        <v>N/A</v>
      </c>
      <c r="N252" s="64" t="s">
        <v>781</v>
      </c>
      <c r="O252" s="253"/>
      <c r="P252" s="69"/>
    </row>
    <row r="253" spans="1:16" x14ac:dyDescent="0.3">
      <c r="A253" s="80">
        <v>3.0579999999999936</v>
      </c>
      <c r="B253" s="59" t="s">
        <v>114</v>
      </c>
      <c r="C253" s="59" t="s">
        <v>246</v>
      </c>
      <c r="D253" s="65">
        <v>169</v>
      </c>
      <c r="E253" s="65">
        <v>148</v>
      </c>
      <c r="F253" s="59"/>
      <c r="G253" s="59"/>
      <c r="H253" s="87" t="str">
        <f>IF(B253="Projects","N/A",IF(B253="Served","N/A",('Cost Basis'!E$3+('Cost Basis'!C$3*Model!D253))*(1+'Cost Basis'!F$3)))</f>
        <v>N/A</v>
      </c>
      <c r="I253" s="88" t="s">
        <v>403</v>
      </c>
      <c r="J253" s="88" t="s">
        <v>403</v>
      </c>
      <c r="K253" s="61"/>
      <c r="L253" s="62" t="str">
        <f>IF(K253=0,"N/A",(LOOKUP(I253,'Cost Basis'!A$4:A$13,'Cost Basis'!E$4:E$13)+IF(LOOKUP(Model!I253,'Cost Basis'!A$4:A$11)=I253,LOOKUP(Model!I253,'Cost Basis'!A$4:A$11,'Cost Basis'!C$4:C$11)*Model!K253*(1+LOOKUP(I253,'Cost Basis'!A$4:A$13,'Cost Basis'!F$3:F$13)),LOOKUP(Model!I253,'Cost Basis'!A$4:A$13,'Cost Basis'!C$4:C$13)*ROUNDUP(Model!K253/5280/30,0))*(1+LOOKUP(I253,'Cost Basis'!A$4:A$13,'Cost Basis'!F$4:F$13))))</f>
        <v>N/A</v>
      </c>
      <c r="M253" s="268" t="str">
        <f t="shared" si="14"/>
        <v>N/A</v>
      </c>
      <c r="N253" s="64" t="s">
        <v>782</v>
      </c>
      <c r="O253" s="253"/>
      <c r="P253" s="69"/>
    </row>
    <row r="254" spans="1:16" x14ac:dyDescent="0.3">
      <c r="A254" s="80">
        <v>3.0589999999999935</v>
      </c>
      <c r="B254" s="59" t="s">
        <v>114</v>
      </c>
      <c r="C254" s="59" t="s">
        <v>121</v>
      </c>
      <c r="D254" s="65">
        <v>97</v>
      </c>
      <c r="E254" s="65">
        <v>90</v>
      </c>
      <c r="F254" s="59"/>
      <c r="G254" s="59"/>
      <c r="H254" s="87" t="str">
        <f>IF(B254="Projects","N/A",IF(B254="Served","N/A",('Cost Basis'!E$3+('Cost Basis'!C$3*Model!D254))*(1+'Cost Basis'!F$3)))</f>
        <v>N/A</v>
      </c>
      <c r="I254" s="88" t="s">
        <v>403</v>
      </c>
      <c r="J254" s="88" t="s">
        <v>403</v>
      </c>
      <c r="K254" s="61"/>
      <c r="L254" s="62" t="str">
        <f>IF(K254=0,"N/A",(LOOKUP(I254,'Cost Basis'!A$4:A$13,'Cost Basis'!E$4:E$13)+IF(LOOKUP(Model!I254,'Cost Basis'!A$4:A$11)=I254,LOOKUP(Model!I254,'Cost Basis'!A$4:A$11,'Cost Basis'!C$4:C$11)*Model!K254*(1+LOOKUP(I254,'Cost Basis'!A$4:A$13,'Cost Basis'!F$3:F$13)),LOOKUP(Model!I254,'Cost Basis'!A$4:A$13,'Cost Basis'!C$4:C$13)*ROUNDUP(Model!K254/5280/30,0))*(1+LOOKUP(I254,'Cost Basis'!A$4:A$13,'Cost Basis'!F$4:F$13))))</f>
        <v>N/A</v>
      </c>
      <c r="M254" s="268" t="str">
        <f t="shared" si="14"/>
        <v>N/A</v>
      </c>
      <c r="N254" s="64" t="s">
        <v>783</v>
      </c>
      <c r="O254" s="253"/>
      <c r="P254" s="69"/>
    </row>
    <row r="255" spans="1:16" x14ac:dyDescent="0.3">
      <c r="A255" s="80">
        <v>3.0599999999999934</v>
      </c>
      <c r="B255" s="59" t="s">
        <v>114</v>
      </c>
      <c r="C255" s="59" t="s">
        <v>115</v>
      </c>
      <c r="D255" s="65">
        <v>124</v>
      </c>
      <c r="E255" s="65">
        <v>96</v>
      </c>
      <c r="F255" s="59"/>
      <c r="G255" s="59"/>
      <c r="H255" s="87" t="str">
        <f>IF(B255="Projects","N/A",IF(B255="Served","N/A",('Cost Basis'!E$3+('Cost Basis'!C$3*Model!D255))*(1+'Cost Basis'!F$3)))</f>
        <v>N/A</v>
      </c>
      <c r="I255" s="88" t="s">
        <v>403</v>
      </c>
      <c r="J255" s="88" t="s">
        <v>403</v>
      </c>
      <c r="K255" s="61"/>
      <c r="L255" s="62" t="str">
        <f>IF(K255=0,"N/A",(LOOKUP(I255,'Cost Basis'!A$4:A$13,'Cost Basis'!E$4:E$13)+IF(LOOKUP(Model!I255,'Cost Basis'!A$4:A$11)=I255,LOOKUP(Model!I255,'Cost Basis'!A$4:A$11,'Cost Basis'!C$4:C$11)*Model!K255*(1+LOOKUP(I255,'Cost Basis'!A$4:A$13,'Cost Basis'!F$3:F$13)),LOOKUP(Model!I255,'Cost Basis'!A$4:A$13,'Cost Basis'!C$4:C$13)*ROUNDUP(Model!K255/5280/30,0))*(1+LOOKUP(I255,'Cost Basis'!A$4:A$13,'Cost Basis'!F$4:F$13))))</f>
        <v>N/A</v>
      </c>
      <c r="M255" s="268" t="str">
        <f t="shared" si="14"/>
        <v>N/A</v>
      </c>
      <c r="N255" s="64" t="s">
        <v>784</v>
      </c>
      <c r="O255" s="253"/>
      <c r="P255" s="69"/>
    </row>
    <row r="256" spans="1:16" x14ac:dyDescent="0.3">
      <c r="A256" s="80">
        <v>3.0609999999999933</v>
      </c>
      <c r="B256" s="59" t="s">
        <v>114</v>
      </c>
      <c r="C256" s="59" t="s">
        <v>276</v>
      </c>
      <c r="D256" s="65">
        <v>156</v>
      </c>
      <c r="E256" s="65">
        <v>143</v>
      </c>
      <c r="F256" s="59"/>
      <c r="G256" s="59"/>
      <c r="H256" s="87" t="str">
        <f>IF(B256="Projects","N/A",IF(B256="Served","N/A",('Cost Basis'!E$3+('Cost Basis'!C$3*Model!D256))*(1+'Cost Basis'!F$3)))</f>
        <v>N/A</v>
      </c>
      <c r="I256" s="88" t="s">
        <v>403</v>
      </c>
      <c r="J256" s="88" t="s">
        <v>403</v>
      </c>
      <c r="K256" s="61"/>
      <c r="L256" s="62" t="str">
        <f>IF(K256=0,"N/A",(LOOKUP(I256,'Cost Basis'!A$4:A$13,'Cost Basis'!E$4:E$13)+IF(LOOKUP(Model!I256,'Cost Basis'!A$4:A$11)=I256,LOOKUP(Model!I256,'Cost Basis'!A$4:A$11,'Cost Basis'!C$4:C$11)*Model!K256*(1+LOOKUP(I256,'Cost Basis'!A$4:A$13,'Cost Basis'!F$3:F$13)),LOOKUP(Model!I256,'Cost Basis'!A$4:A$13,'Cost Basis'!C$4:C$13)*ROUNDUP(Model!K256/5280/30,0))*(1+LOOKUP(I256,'Cost Basis'!A$4:A$13,'Cost Basis'!F$4:F$13))))</f>
        <v>N/A</v>
      </c>
      <c r="M256" s="268" t="str">
        <f t="shared" si="14"/>
        <v>N/A</v>
      </c>
      <c r="N256" s="64" t="s">
        <v>785</v>
      </c>
      <c r="O256" s="253"/>
      <c r="P256" s="69"/>
    </row>
    <row r="257" spans="1:16" x14ac:dyDescent="0.3">
      <c r="A257" s="80">
        <v>3.0619999999999932</v>
      </c>
      <c r="B257" s="59" t="s">
        <v>114</v>
      </c>
      <c r="C257" s="59" t="s">
        <v>259</v>
      </c>
      <c r="D257" s="65">
        <v>22</v>
      </c>
      <c r="E257" s="65">
        <v>17</v>
      </c>
      <c r="F257" s="59"/>
      <c r="G257" s="59"/>
      <c r="H257" s="87" t="str">
        <f>IF(B257="Projects","N/A",IF(B257="Served","N/A",('Cost Basis'!E$3+('Cost Basis'!C$3*Model!D257))*(1+'Cost Basis'!F$3)))</f>
        <v>N/A</v>
      </c>
      <c r="I257" s="88" t="s">
        <v>403</v>
      </c>
      <c r="J257" s="88" t="s">
        <v>403</v>
      </c>
      <c r="K257" s="61"/>
      <c r="L257" s="62" t="str">
        <f>IF(K257=0,"N/A",(LOOKUP(I257,'Cost Basis'!A$4:A$13,'Cost Basis'!E$4:E$13)+IF(LOOKUP(Model!I257,'Cost Basis'!A$4:A$11)=I257,LOOKUP(Model!I257,'Cost Basis'!A$4:A$11,'Cost Basis'!C$4:C$11)*Model!K257*(1+LOOKUP(I257,'Cost Basis'!A$4:A$13,'Cost Basis'!F$3:F$13)),LOOKUP(Model!I257,'Cost Basis'!A$4:A$13,'Cost Basis'!C$4:C$13)*ROUNDUP(Model!K257/5280/30,0))*(1+LOOKUP(I257,'Cost Basis'!A$4:A$13,'Cost Basis'!F$4:F$13))))</f>
        <v>N/A</v>
      </c>
      <c r="M257" s="268" t="str">
        <f t="shared" si="14"/>
        <v>N/A</v>
      </c>
      <c r="N257" s="64" t="s">
        <v>786</v>
      </c>
      <c r="O257" s="253"/>
      <c r="P257" s="69"/>
    </row>
    <row r="258" spans="1:16" x14ac:dyDescent="0.3">
      <c r="A258" s="80">
        <v>3.0629999999999931</v>
      </c>
      <c r="B258" s="59" t="s">
        <v>114</v>
      </c>
      <c r="C258" s="59" t="s">
        <v>265</v>
      </c>
      <c r="D258" s="65">
        <v>83</v>
      </c>
      <c r="E258" s="65">
        <v>53</v>
      </c>
      <c r="F258" s="59"/>
      <c r="G258" s="59"/>
      <c r="H258" s="87" t="str">
        <f>IF(B258="Projects","N/A",IF(B258="Served","N/A",('Cost Basis'!E$3+('Cost Basis'!C$3*Model!D258))*(1+'Cost Basis'!F$3)))</f>
        <v>N/A</v>
      </c>
      <c r="I258" s="88" t="s">
        <v>403</v>
      </c>
      <c r="J258" s="88" t="s">
        <v>403</v>
      </c>
      <c r="K258" s="61"/>
      <c r="L258" s="62" t="str">
        <f>IF(K258=0,"N/A",(LOOKUP(I258,'Cost Basis'!A$4:A$13,'Cost Basis'!E$4:E$13)+IF(LOOKUP(Model!I258,'Cost Basis'!A$4:A$11)=I258,LOOKUP(Model!I258,'Cost Basis'!A$4:A$11,'Cost Basis'!C$4:C$11)*Model!K258*(1+LOOKUP(I258,'Cost Basis'!A$4:A$13,'Cost Basis'!F$3:F$13)),LOOKUP(Model!I258,'Cost Basis'!A$4:A$13,'Cost Basis'!C$4:C$13)*ROUNDUP(Model!K258/5280/30,0))*(1+LOOKUP(I258,'Cost Basis'!A$4:A$13,'Cost Basis'!F$4:F$13))))</f>
        <v>N/A</v>
      </c>
      <c r="M258" s="268" t="str">
        <f t="shared" ref="M258:M321" si="15">IF(L258="N/A",H258,H258+L258)</f>
        <v>N/A</v>
      </c>
      <c r="N258" s="64" t="s">
        <v>787</v>
      </c>
      <c r="O258" s="253"/>
      <c r="P258" s="69"/>
    </row>
    <row r="259" spans="1:16" x14ac:dyDescent="0.3">
      <c r="A259" s="80">
        <v>3.063999999999993</v>
      </c>
      <c r="B259" s="59" t="s">
        <v>114</v>
      </c>
      <c r="C259" s="59" t="s">
        <v>249</v>
      </c>
      <c r="D259" s="65">
        <v>43</v>
      </c>
      <c r="E259" s="65">
        <v>19</v>
      </c>
      <c r="F259" s="59"/>
      <c r="G259" s="59"/>
      <c r="H259" s="87" t="str">
        <f>IF(B259="Projects","N/A",IF(B259="Served","N/A",('Cost Basis'!E$3+('Cost Basis'!C$3*Model!D259))*(1+'Cost Basis'!F$3)))</f>
        <v>N/A</v>
      </c>
      <c r="I259" s="88" t="s">
        <v>403</v>
      </c>
      <c r="J259" s="88" t="s">
        <v>403</v>
      </c>
      <c r="K259" s="61"/>
      <c r="L259" s="62" t="str">
        <f>IF(K259=0,"N/A",(LOOKUP(I259,'Cost Basis'!A$4:A$13,'Cost Basis'!E$4:E$13)+IF(LOOKUP(Model!I259,'Cost Basis'!A$4:A$11)=I259,LOOKUP(Model!I259,'Cost Basis'!A$4:A$11,'Cost Basis'!C$4:C$11)*Model!K259*(1+LOOKUP(I259,'Cost Basis'!A$4:A$13,'Cost Basis'!F$3:F$13)),LOOKUP(Model!I259,'Cost Basis'!A$4:A$13,'Cost Basis'!C$4:C$13)*ROUNDUP(Model!K259/5280/30,0))*(1+LOOKUP(I259,'Cost Basis'!A$4:A$13,'Cost Basis'!F$4:F$13))))</f>
        <v>N/A</v>
      </c>
      <c r="M259" s="268" t="str">
        <f t="shared" si="15"/>
        <v>N/A</v>
      </c>
      <c r="N259" s="64" t="s">
        <v>788</v>
      </c>
      <c r="O259" s="253"/>
      <c r="P259" s="69"/>
    </row>
    <row r="260" spans="1:16" x14ac:dyDescent="0.3">
      <c r="A260" s="80">
        <v>3.0649999999999928</v>
      </c>
      <c r="B260" s="59" t="s">
        <v>114</v>
      </c>
      <c r="C260" s="59" t="s">
        <v>260</v>
      </c>
      <c r="D260" s="65">
        <v>16</v>
      </c>
      <c r="E260" s="65">
        <v>4</v>
      </c>
      <c r="F260" s="59"/>
      <c r="G260" s="59"/>
      <c r="H260" s="87" t="str">
        <f>IF(B260="Projects","N/A",IF(B260="Served","N/A",('Cost Basis'!E$3+('Cost Basis'!C$3*Model!D260))*(1+'Cost Basis'!F$3)))</f>
        <v>N/A</v>
      </c>
      <c r="I260" s="88" t="s">
        <v>403</v>
      </c>
      <c r="J260" s="88" t="s">
        <v>403</v>
      </c>
      <c r="K260" s="61"/>
      <c r="L260" s="62" t="str">
        <f>IF(K260=0,"N/A",(LOOKUP(I260,'Cost Basis'!A$4:A$13,'Cost Basis'!E$4:E$13)+IF(LOOKUP(Model!I260,'Cost Basis'!A$4:A$11)=I260,LOOKUP(Model!I260,'Cost Basis'!A$4:A$11,'Cost Basis'!C$4:C$11)*Model!K260*(1+LOOKUP(I260,'Cost Basis'!A$4:A$13,'Cost Basis'!F$3:F$13)),LOOKUP(Model!I260,'Cost Basis'!A$4:A$13,'Cost Basis'!C$4:C$13)*ROUNDUP(Model!K260/5280/30,0))*(1+LOOKUP(I260,'Cost Basis'!A$4:A$13,'Cost Basis'!F$4:F$13))))</f>
        <v>N/A</v>
      </c>
      <c r="M260" s="268" t="str">
        <f t="shared" si="15"/>
        <v>N/A</v>
      </c>
      <c r="N260" s="64" t="s">
        <v>789</v>
      </c>
      <c r="O260" s="253"/>
      <c r="P260" s="69"/>
    </row>
    <row r="261" spans="1:16" x14ac:dyDescent="0.3">
      <c r="A261" s="80">
        <v>3.0659999999999927</v>
      </c>
      <c r="B261" s="59" t="s">
        <v>114</v>
      </c>
      <c r="C261" s="59" t="s">
        <v>239</v>
      </c>
      <c r="D261" s="65">
        <v>59</v>
      </c>
      <c r="E261" s="65">
        <v>45</v>
      </c>
      <c r="F261" s="59"/>
      <c r="G261" s="59"/>
      <c r="H261" s="87" t="str">
        <f>IF(B261="Projects","N/A",IF(B261="Served","N/A",('Cost Basis'!E$3+('Cost Basis'!C$3*Model!D261))*(1+'Cost Basis'!F$3)))</f>
        <v>N/A</v>
      </c>
      <c r="I261" s="88" t="s">
        <v>403</v>
      </c>
      <c r="J261" s="88" t="s">
        <v>403</v>
      </c>
      <c r="K261" s="61"/>
      <c r="L261" s="62" t="str">
        <f>IF(K261=0,"N/A",(LOOKUP(I261,'Cost Basis'!A$4:A$13,'Cost Basis'!E$4:E$13)+IF(LOOKUP(Model!I261,'Cost Basis'!A$4:A$11)=I261,LOOKUP(Model!I261,'Cost Basis'!A$4:A$11,'Cost Basis'!C$4:C$11)*Model!K261*(1+LOOKUP(I261,'Cost Basis'!A$4:A$13,'Cost Basis'!F$3:F$13)),LOOKUP(Model!I261,'Cost Basis'!A$4:A$13,'Cost Basis'!C$4:C$13)*ROUNDUP(Model!K261/5280/30,0))*(1+LOOKUP(I261,'Cost Basis'!A$4:A$13,'Cost Basis'!F$4:F$13))))</f>
        <v>N/A</v>
      </c>
      <c r="M261" s="268" t="str">
        <f t="shared" si="15"/>
        <v>N/A</v>
      </c>
      <c r="N261" s="64" t="s">
        <v>790</v>
      </c>
      <c r="O261" s="253"/>
      <c r="P261" s="69"/>
    </row>
    <row r="262" spans="1:16" x14ac:dyDescent="0.3">
      <c r="A262" s="80">
        <v>3.0669999999999926</v>
      </c>
      <c r="B262" s="59" t="s">
        <v>114</v>
      </c>
      <c r="C262" s="59" t="s">
        <v>266</v>
      </c>
      <c r="D262" s="65">
        <v>121</v>
      </c>
      <c r="E262" s="65">
        <v>68</v>
      </c>
      <c r="F262" s="59"/>
      <c r="G262" s="59"/>
      <c r="H262" s="87" t="str">
        <f>IF(B262="Projects","N/A",IF(B262="Served","N/A",('Cost Basis'!E$3+('Cost Basis'!C$3*Model!D262))*(1+'Cost Basis'!F$3)))</f>
        <v>N/A</v>
      </c>
      <c r="I262" s="88" t="s">
        <v>403</v>
      </c>
      <c r="J262" s="88" t="s">
        <v>403</v>
      </c>
      <c r="K262" s="61"/>
      <c r="L262" s="62" t="str">
        <f>IF(K262=0,"N/A",(LOOKUP(I262,'Cost Basis'!A$4:A$13,'Cost Basis'!E$4:E$13)+IF(LOOKUP(Model!I262,'Cost Basis'!A$4:A$11)=I262,LOOKUP(Model!I262,'Cost Basis'!A$4:A$11,'Cost Basis'!C$4:C$11)*Model!K262*(1+LOOKUP(I262,'Cost Basis'!A$4:A$13,'Cost Basis'!F$3:F$13)),LOOKUP(Model!I262,'Cost Basis'!A$4:A$13,'Cost Basis'!C$4:C$13)*ROUNDUP(Model!K262/5280/30,0))*(1+LOOKUP(I262,'Cost Basis'!A$4:A$13,'Cost Basis'!F$4:F$13))))</f>
        <v>N/A</v>
      </c>
      <c r="M262" s="268" t="str">
        <f t="shared" si="15"/>
        <v>N/A</v>
      </c>
      <c r="N262" s="64" t="s">
        <v>791</v>
      </c>
      <c r="O262" s="253"/>
      <c r="P262" s="69"/>
    </row>
    <row r="263" spans="1:16" x14ac:dyDescent="0.3">
      <c r="A263" s="80">
        <v>3.0679999999999925</v>
      </c>
      <c r="B263" s="59" t="s">
        <v>114</v>
      </c>
      <c r="C263" s="59" t="s">
        <v>277</v>
      </c>
      <c r="D263" s="65">
        <v>212</v>
      </c>
      <c r="E263" s="65">
        <v>186</v>
      </c>
      <c r="F263" s="59"/>
      <c r="G263" s="59"/>
      <c r="H263" s="87" t="str">
        <f>IF(B263="Projects","N/A",IF(B263="Served","N/A",('Cost Basis'!E$3+('Cost Basis'!C$3*Model!D263))*(1+'Cost Basis'!F$3)))</f>
        <v>N/A</v>
      </c>
      <c r="I263" s="88" t="s">
        <v>403</v>
      </c>
      <c r="J263" s="88" t="s">
        <v>403</v>
      </c>
      <c r="K263" s="61"/>
      <c r="L263" s="62" t="str">
        <f>IF(K263=0,"N/A",(LOOKUP(I263,'Cost Basis'!A$4:A$13,'Cost Basis'!E$4:E$13)+IF(LOOKUP(Model!I263,'Cost Basis'!A$4:A$11)=I263,LOOKUP(Model!I263,'Cost Basis'!A$4:A$11,'Cost Basis'!C$4:C$11)*Model!K263*(1+LOOKUP(I263,'Cost Basis'!A$4:A$13,'Cost Basis'!F$3:F$13)),LOOKUP(Model!I263,'Cost Basis'!A$4:A$13,'Cost Basis'!C$4:C$13)*ROUNDUP(Model!K263/5280/30,0))*(1+LOOKUP(I263,'Cost Basis'!A$4:A$13,'Cost Basis'!F$4:F$13))))</f>
        <v>N/A</v>
      </c>
      <c r="M263" s="268" t="str">
        <f t="shared" si="15"/>
        <v>N/A</v>
      </c>
      <c r="N263" s="64" t="s">
        <v>792</v>
      </c>
      <c r="O263" s="253"/>
      <c r="P263" s="69"/>
    </row>
    <row r="264" spans="1:16" x14ac:dyDescent="0.3">
      <c r="A264" s="80">
        <v>3.0689999999999924</v>
      </c>
      <c r="B264" s="59" t="s">
        <v>114</v>
      </c>
      <c r="C264" s="59" t="s">
        <v>225</v>
      </c>
      <c r="D264" s="65">
        <v>39</v>
      </c>
      <c r="E264" s="65">
        <v>17</v>
      </c>
      <c r="F264" s="59"/>
      <c r="G264" s="59"/>
      <c r="H264" s="87" t="str">
        <f>IF(B264="Projects","N/A",IF(B264="Served","N/A",('Cost Basis'!E$3+('Cost Basis'!C$3*Model!D264))*(1+'Cost Basis'!F$3)))</f>
        <v>N/A</v>
      </c>
      <c r="I264" s="88" t="s">
        <v>403</v>
      </c>
      <c r="J264" s="88" t="s">
        <v>403</v>
      </c>
      <c r="K264" s="61"/>
      <c r="L264" s="62" t="str">
        <f>IF(K264=0,"N/A",(LOOKUP(I264,'Cost Basis'!A$4:A$13,'Cost Basis'!E$4:E$13)+IF(LOOKUP(Model!I264,'Cost Basis'!A$4:A$11)=I264,LOOKUP(Model!I264,'Cost Basis'!A$4:A$11,'Cost Basis'!C$4:C$11)*Model!K264*(1+LOOKUP(I264,'Cost Basis'!A$4:A$13,'Cost Basis'!F$3:F$13)),LOOKUP(Model!I264,'Cost Basis'!A$4:A$13,'Cost Basis'!C$4:C$13)*ROUNDUP(Model!K264/5280/30,0))*(1+LOOKUP(I264,'Cost Basis'!A$4:A$13,'Cost Basis'!F$4:F$13))))</f>
        <v>N/A</v>
      </c>
      <c r="M264" s="268" t="str">
        <f t="shared" si="15"/>
        <v>N/A</v>
      </c>
      <c r="N264" s="64" t="s">
        <v>793</v>
      </c>
      <c r="O264" s="253"/>
      <c r="P264" s="69"/>
    </row>
    <row r="265" spans="1:16" x14ac:dyDescent="0.3">
      <c r="A265" s="80">
        <v>3.0699999999999923</v>
      </c>
      <c r="B265" s="59" t="s">
        <v>114</v>
      </c>
      <c r="C265" s="59" t="s">
        <v>254</v>
      </c>
      <c r="D265" s="65">
        <v>482</v>
      </c>
      <c r="E265" s="65">
        <v>422</v>
      </c>
      <c r="F265" s="59"/>
      <c r="G265" s="59"/>
      <c r="H265" s="87" t="str">
        <f>IF(B265="Projects","N/A",IF(B265="Served","N/A",('Cost Basis'!E$3+('Cost Basis'!C$3*Model!D265))*(1+'Cost Basis'!F$3)))</f>
        <v>N/A</v>
      </c>
      <c r="I265" s="88" t="s">
        <v>403</v>
      </c>
      <c r="J265" s="88" t="s">
        <v>403</v>
      </c>
      <c r="K265" s="61"/>
      <c r="L265" s="62" t="str">
        <f>IF(K265=0,"N/A",(LOOKUP(I265,'Cost Basis'!A$4:A$13,'Cost Basis'!E$4:E$13)+IF(LOOKUP(Model!I265,'Cost Basis'!A$4:A$11)=I265,LOOKUP(Model!I265,'Cost Basis'!A$4:A$11,'Cost Basis'!C$4:C$11)*Model!K265*(1+LOOKUP(I265,'Cost Basis'!A$4:A$13,'Cost Basis'!F$3:F$13)),LOOKUP(Model!I265,'Cost Basis'!A$4:A$13,'Cost Basis'!C$4:C$13)*ROUNDUP(Model!K265/5280/30,0))*(1+LOOKUP(I265,'Cost Basis'!A$4:A$13,'Cost Basis'!F$4:F$13))))</f>
        <v>N/A</v>
      </c>
      <c r="M265" s="268" t="str">
        <f t="shared" si="15"/>
        <v>N/A</v>
      </c>
      <c r="N265" s="64" t="s">
        <v>794</v>
      </c>
      <c r="O265" s="253"/>
      <c r="P265" s="69"/>
    </row>
    <row r="266" spans="1:16" x14ac:dyDescent="0.3">
      <c r="A266" s="80">
        <v>3.0709999999999922</v>
      </c>
      <c r="B266" s="59" t="s">
        <v>114</v>
      </c>
      <c r="C266" s="59" t="s">
        <v>117</v>
      </c>
      <c r="D266" s="65">
        <v>193</v>
      </c>
      <c r="E266" s="65">
        <v>155</v>
      </c>
      <c r="F266" s="59"/>
      <c r="G266" s="59"/>
      <c r="H266" s="87" t="str">
        <f>IF(B266="Projects","N/A",IF(B266="Served","N/A",('Cost Basis'!E$3+('Cost Basis'!C$3*Model!D266))*(1+'Cost Basis'!F$3)))</f>
        <v>N/A</v>
      </c>
      <c r="I266" s="88" t="s">
        <v>403</v>
      </c>
      <c r="J266" s="88" t="s">
        <v>403</v>
      </c>
      <c r="K266" s="61"/>
      <c r="L266" s="62" t="str">
        <f>IF(K266=0,"N/A",(LOOKUP(I266,'Cost Basis'!A$4:A$13,'Cost Basis'!E$4:E$13)+IF(LOOKUP(Model!I266,'Cost Basis'!A$4:A$11)=I266,LOOKUP(Model!I266,'Cost Basis'!A$4:A$11,'Cost Basis'!C$4:C$11)*Model!K266*(1+LOOKUP(I266,'Cost Basis'!A$4:A$13,'Cost Basis'!F$3:F$13)),LOOKUP(Model!I266,'Cost Basis'!A$4:A$13,'Cost Basis'!C$4:C$13)*ROUNDUP(Model!K266/5280/30,0))*(1+LOOKUP(I266,'Cost Basis'!A$4:A$13,'Cost Basis'!F$4:F$13))))</f>
        <v>N/A</v>
      </c>
      <c r="M266" s="268" t="str">
        <f t="shared" si="15"/>
        <v>N/A</v>
      </c>
      <c r="N266" s="64" t="s">
        <v>795</v>
      </c>
      <c r="O266" s="253"/>
      <c r="P266" s="69"/>
    </row>
    <row r="267" spans="1:16" x14ac:dyDescent="0.3">
      <c r="A267" s="80">
        <v>3.0719999999999921</v>
      </c>
      <c r="B267" s="59" t="s">
        <v>114</v>
      </c>
      <c r="C267" s="59" t="s">
        <v>122</v>
      </c>
      <c r="D267" s="65">
        <v>61</v>
      </c>
      <c r="E267" s="65">
        <v>40</v>
      </c>
      <c r="F267" s="59"/>
      <c r="G267" s="59"/>
      <c r="H267" s="87" t="str">
        <f>IF(B267="Projects","N/A",IF(B267="Served","N/A",('Cost Basis'!E$3+('Cost Basis'!C$3*Model!D267))*(1+'Cost Basis'!F$3)))</f>
        <v>N/A</v>
      </c>
      <c r="I267" s="88" t="s">
        <v>403</v>
      </c>
      <c r="J267" s="88" t="s">
        <v>403</v>
      </c>
      <c r="K267" s="61"/>
      <c r="L267" s="62" t="str">
        <f>IF(K267=0,"N/A",(LOOKUP(I267,'Cost Basis'!A$4:A$13,'Cost Basis'!E$4:E$13)+IF(LOOKUP(Model!I267,'Cost Basis'!A$4:A$11)=I267,LOOKUP(Model!I267,'Cost Basis'!A$4:A$11,'Cost Basis'!C$4:C$11)*Model!K267*(1+LOOKUP(I267,'Cost Basis'!A$4:A$13,'Cost Basis'!F$3:F$13)),LOOKUP(Model!I267,'Cost Basis'!A$4:A$13,'Cost Basis'!C$4:C$13)*ROUNDUP(Model!K267/5280/30,0))*(1+LOOKUP(I267,'Cost Basis'!A$4:A$13,'Cost Basis'!F$4:F$13))))</f>
        <v>N/A</v>
      </c>
      <c r="M267" s="268" t="str">
        <f t="shared" si="15"/>
        <v>N/A</v>
      </c>
      <c r="N267" s="64" t="s">
        <v>796</v>
      </c>
      <c r="O267" s="253"/>
      <c r="P267" s="69"/>
    </row>
    <row r="268" spans="1:16" x14ac:dyDescent="0.3">
      <c r="A268" s="80">
        <v>3.072999999999992</v>
      </c>
      <c r="B268" s="59" t="s">
        <v>114</v>
      </c>
      <c r="C268" s="59" t="s">
        <v>226</v>
      </c>
      <c r="D268" s="65">
        <v>55</v>
      </c>
      <c r="E268" s="65">
        <v>4</v>
      </c>
      <c r="F268" s="59"/>
      <c r="G268" s="59"/>
      <c r="H268" s="87" t="str">
        <f>IF(B268="Projects","N/A",IF(B268="Served","N/A",('Cost Basis'!E$3+('Cost Basis'!C$3*Model!D268))*(1+'Cost Basis'!F$3)))</f>
        <v>N/A</v>
      </c>
      <c r="I268" s="88" t="s">
        <v>403</v>
      </c>
      <c r="J268" s="88" t="s">
        <v>403</v>
      </c>
      <c r="K268" s="61"/>
      <c r="L268" s="62" t="str">
        <f>IF(K268=0,"N/A",(LOOKUP(I268,'Cost Basis'!A$4:A$13,'Cost Basis'!E$4:E$13)+IF(LOOKUP(Model!I268,'Cost Basis'!A$4:A$11)=I268,LOOKUP(Model!I268,'Cost Basis'!A$4:A$11,'Cost Basis'!C$4:C$11)*Model!K268*(1+LOOKUP(I268,'Cost Basis'!A$4:A$13,'Cost Basis'!F$3:F$13)),LOOKUP(Model!I268,'Cost Basis'!A$4:A$13,'Cost Basis'!C$4:C$13)*ROUNDUP(Model!K268/5280/30,0))*(1+LOOKUP(I268,'Cost Basis'!A$4:A$13,'Cost Basis'!F$4:F$13))))</f>
        <v>N/A</v>
      </c>
      <c r="M268" s="268" t="str">
        <f t="shared" si="15"/>
        <v>N/A</v>
      </c>
      <c r="N268" s="64" t="s">
        <v>797</v>
      </c>
      <c r="O268" s="253"/>
      <c r="P268" s="69"/>
    </row>
    <row r="269" spans="1:16" x14ac:dyDescent="0.3">
      <c r="A269" s="80">
        <v>3.0739999999999919</v>
      </c>
      <c r="B269" s="59" t="s">
        <v>114</v>
      </c>
      <c r="C269" s="59" t="s">
        <v>227</v>
      </c>
      <c r="D269" s="65">
        <v>136</v>
      </c>
      <c r="E269" s="65">
        <v>67</v>
      </c>
      <c r="F269" s="59"/>
      <c r="G269" s="59"/>
      <c r="H269" s="87" t="str">
        <f>IF(B269="Projects","N/A",IF(B269="Served","N/A",('Cost Basis'!E$3+('Cost Basis'!C$3*Model!D269))*(1+'Cost Basis'!F$3)))</f>
        <v>N/A</v>
      </c>
      <c r="I269" s="88" t="s">
        <v>403</v>
      </c>
      <c r="J269" s="88" t="s">
        <v>403</v>
      </c>
      <c r="K269" s="61"/>
      <c r="L269" s="62" t="str">
        <f>IF(K269=0,"N/A",(LOOKUP(I269,'Cost Basis'!A$4:A$13,'Cost Basis'!E$4:E$13)+IF(LOOKUP(Model!I269,'Cost Basis'!A$4:A$11)=I269,LOOKUP(Model!I269,'Cost Basis'!A$4:A$11,'Cost Basis'!C$4:C$11)*Model!K269*(1+LOOKUP(I269,'Cost Basis'!A$4:A$13,'Cost Basis'!F$3:F$13)),LOOKUP(Model!I269,'Cost Basis'!A$4:A$13,'Cost Basis'!C$4:C$13)*ROUNDUP(Model!K269/5280/30,0))*(1+LOOKUP(I269,'Cost Basis'!A$4:A$13,'Cost Basis'!F$4:F$13))))</f>
        <v>N/A</v>
      </c>
      <c r="M269" s="268" t="str">
        <f t="shared" si="15"/>
        <v>N/A</v>
      </c>
      <c r="N269" s="64" t="s">
        <v>798</v>
      </c>
      <c r="O269" s="253"/>
      <c r="P269" s="69"/>
    </row>
    <row r="270" spans="1:16" x14ac:dyDescent="0.3">
      <c r="A270" s="80">
        <v>3.0749999999999917</v>
      </c>
      <c r="B270" s="59" t="s">
        <v>114</v>
      </c>
      <c r="C270" s="59" t="s">
        <v>269</v>
      </c>
      <c r="D270" s="65">
        <v>95</v>
      </c>
      <c r="E270" s="65">
        <v>75</v>
      </c>
      <c r="F270" s="59"/>
      <c r="G270" s="59"/>
      <c r="H270" s="87" t="str">
        <f>IF(B270="Projects","N/A",IF(B270="Served","N/A",('Cost Basis'!E$3+('Cost Basis'!C$3*Model!D270))*(1+'Cost Basis'!F$3)))</f>
        <v>N/A</v>
      </c>
      <c r="I270" s="88" t="s">
        <v>403</v>
      </c>
      <c r="J270" s="88" t="s">
        <v>403</v>
      </c>
      <c r="K270" s="61"/>
      <c r="L270" s="62" t="str">
        <f>IF(K270=0,"N/A",(LOOKUP(I270,'Cost Basis'!A$4:A$13,'Cost Basis'!E$4:E$13)+IF(LOOKUP(Model!I270,'Cost Basis'!A$4:A$11)=I270,LOOKUP(Model!I270,'Cost Basis'!A$4:A$11,'Cost Basis'!C$4:C$11)*Model!K270*(1+LOOKUP(I270,'Cost Basis'!A$4:A$13,'Cost Basis'!F$3:F$13)),LOOKUP(Model!I270,'Cost Basis'!A$4:A$13,'Cost Basis'!C$4:C$13)*ROUNDUP(Model!K270/5280/30,0))*(1+LOOKUP(I270,'Cost Basis'!A$4:A$13,'Cost Basis'!F$4:F$13))))</f>
        <v>N/A</v>
      </c>
      <c r="M270" s="268" t="str">
        <f t="shared" si="15"/>
        <v>N/A</v>
      </c>
      <c r="N270" s="64" t="s">
        <v>799</v>
      </c>
      <c r="O270" s="253"/>
      <c r="P270" s="69"/>
    </row>
    <row r="271" spans="1:16" x14ac:dyDescent="0.3">
      <c r="A271" s="80">
        <v>3.0759999999999916</v>
      </c>
      <c r="B271" s="59" t="s">
        <v>114</v>
      </c>
      <c r="C271" s="59" t="s">
        <v>219</v>
      </c>
      <c r="D271" s="65">
        <v>84</v>
      </c>
      <c r="E271" s="65">
        <v>61</v>
      </c>
      <c r="F271" s="59"/>
      <c r="G271" s="59"/>
      <c r="H271" s="87" t="str">
        <f>IF(B271="Projects","N/A",IF(B271="Served","N/A",('Cost Basis'!E$3+('Cost Basis'!C$3*Model!D271))*(1+'Cost Basis'!F$3)))</f>
        <v>N/A</v>
      </c>
      <c r="I271" s="88" t="s">
        <v>403</v>
      </c>
      <c r="J271" s="88" t="s">
        <v>403</v>
      </c>
      <c r="K271" s="61"/>
      <c r="L271" s="62" t="str">
        <f>IF(K271=0,"N/A",(LOOKUP(I271,'Cost Basis'!A$4:A$13,'Cost Basis'!E$4:E$13)+IF(LOOKUP(Model!I271,'Cost Basis'!A$4:A$11)=I271,LOOKUP(Model!I271,'Cost Basis'!A$4:A$11,'Cost Basis'!C$4:C$11)*Model!K271*(1+LOOKUP(I271,'Cost Basis'!A$4:A$13,'Cost Basis'!F$3:F$13)),LOOKUP(Model!I271,'Cost Basis'!A$4:A$13,'Cost Basis'!C$4:C$13)*ROUNDUP(Model!K271/5280/30,0))*(1+LOOKUP(I271,'Cost Basis'!A$4:A$13,'Cost Basis'!F$4:F$13))))</f>
        <v>N/A</v>
      </c>
      <c r="M271" s="268" t="str">
        <f t="shared" si="15"/>
        <v>N/A</v>
      </c>
      <c r="N271" s="64" t="s">
        <v>800</v>
      </c>
      <c r="O271" s="253"/>
      <c r="P271" s="69"/>
    </row>
    <row r="272" spans="1:16" x14ac:dyDescent="0.3">
      <c r="A272" s="80">
        <v>3.0769999999999915</v>
      </c>
      <c r="B272" s="59" t="s">
        <v>114</v>
      </c>
      <c r="C272" s="59" t="s">
        <v>278</v>
      </c>
      <c r="D272" s="65">
        <v>134</v>
      </c>
      <c r="E272" s="65">
        <v>122</v>
      </c>
      <c r="F272" s="59"/>
      <c r="G272" s="59"/>
      <c r="H272" s="87" t="str">
        <f>IF(B272="Projects","N/A",IF(B272="Served","N/A",('Cost Basis'!E$3+('Cost Basis'!C$3*Model!D272))*(1+'Cost Basis'!F$3)))</f>
        <v>N/A</v>
      </c>
      <c r="I272" s="88" t="s">
        <v>403</v>
      </c>
      <c r="J272" s="88" t="s">
        <v>403</v>
      </c>
      <c r="K272" s="61"/>
      <c r="L272" s="62" t="str">
        <f>IF(K272=0,"N/A",(LOOKUP(I272,'Cost Basis'!A$4:A$13,'Cost Basis'!E$4:E$13)+IF(LOOKUP(Model!I272,'Cost Basis'!A$4:A$11)=I272,LOOKUP(Model!I272,'Cost Basis'!A$4:A$11,'Cost Basis'!C$4:C$11)*Model!K272*(1+LOOKUP(I272,'Cost Basis'!A$4:A$13,'Cost Basis'!F$3:F$13)),LOOKUP(Model!I272,'Cost Basis'!A$4:A$13,'Cost Basis'!C$4:C$13)*ROUNDUP(Model!K272/5280/30,0))*(1+LOOKUP(I272,'Cost Basis'!A$4:A$13,'Cost Basis'!F$4:F$13))))</f>
        <v>N/A</v>
      </c>
      <c r="M272" s="268" t="str">
        <f t="shared" si="15"/>
        <v>N/A</v>
      </c>
      <c r="N272" s="64" t="s">
        <v>801</v>
      </c>
      <c r="O272" s="253"/>
      <c r="P272" s="69"/>
    </row>
    <row r="273" spans="1:16" x14ac:dyDescent="0.3">
      <c r="A273" s="80">
        <v>3.0779999999999914</v>
      </c>
      <c r="B273" s="59" t="s">
        <v>114</v>
      </c>
      <c r="C273" s="59" t="s">
        <v>255</v>
      </c>
      <c r="D273" s="65">
        <v>1319</v>
      </c>
      <c r="E273" s="65">
        <v>1107</v>
      </c>
      <c r="F273" s="59"/>
      <c r="G273" s="59"/>
      <c r="H273" s="87" t="str">
        <f>IF(B273="Projects","N/A",IF(B273="Served","N/A",('Cost Basis'!E$3+('Cost Basis'!C$3*Model!D273))*(1+'Cost Basis'!F$3)))</f>
        <v>N/A</v>
      </c>
      <c r="I273" s="88" t="s">
        <v>403</v>
      </c>
      <c r="J273" s="88" t="s">
        <v>403</v>
      </c>
      <c r="K273" s="61"/>
      <c r="L273" s="62" t="str">
        <f>IF(K273=0,"N/A",(LOOKUP(I273,'Cost Basis'!A$4:A$13,'Cost Basis'!E$4:E$13)+IF(LOOKUP(Model!I273,'Cost Basis'!A$4:A$11)=I273,LOOKUP(Model!I273,'Cost Basis'!A$4:A$11,'Cost Basis'!C$4:C$11)*Model!K273*(1+LOOKUP(I273,'Cost Basis'!A$4:A$13,'Cost Basis'!F$3:F$13)),LOOKUP(Model!I273,'Cost Basis'!A$4:A$13,'Cost Basis'!C$4:C$13)*ROUNDUP(Model!K273/5280/30,0))*(1+LOOKUP(I273,'Cost Basis'!A$4:A$13,'Cost Basis'!F$4:F$13))))</f>
        <v>N/A</v>
      </c>
      <c r="M273" s="268" t="str">
        <f t="shared" si="15"/>
        <v>N/A</v>
      </c>
      <c r="N273" s="64" t="s">
        <v>802</v>
      </c>
      <c r="O273" s="253"/>
      <c r="P273" s="69"/>
    </row>
    <row r="274" spans="1:16" x14ac:dyDescent="0.3">
      <c r="A274" s="80">
        <v>3.0789999999999913</v>
      </c>
      <c r="B274" s="59" t="s">
        <v>114</v>
      </c>
      <c r="C274" s="59" t="s">
        <v>220</v>
      </c>
      <c r="D274" s="65">
        <v>74</v>
      </c>
      <c r="E274" s="65">
        <v>55</v>
      </c>
      <c r="F274" s="59"/>
      <c r="G274" s="59"/>
      <c r="H274" s="87" t="str">
        <f>IF(B274="Projects","N/A",IF(B274="Served","N/A",('Cost Basis'!E$3+('Cost Basis'!C$3*Model!D274))*(1+'Cost Basis'!F$3)))</f>
        <v>N/A</v>
      </c>
      <c r="I274" s="88" t="s">
        <v>403</v>
      </c>
      <c r="J274" s="88" t="s">
        <v>403</v>
      </c>
      <c r="K274" s="61"/>
      <c r="L274" s="62" t="str">
        <f>IF(K274=0,"N/A",(LOOKUP(I274,'Cost Basis'!A$4:A$13,'Cost Basis'!E$4:E$13)+IF(LOOKUP(Model!I274,'Cost Basis'!A$4:A$11)=I274,LOOKUP(Model!I274,'Cost Basis'!A$4:A$11,'Cost Basis'!C$4:C$11)*Model!K274*(1+LOOKUP(I274,'Cost Basis'!A$4:A$13,'Cost Basis'!F$3:F$13)),LOOKUP(Model!I274,'Cost Basis'!A$4:A$13,'Cost Basis'!C$4:C$13)*ROUNDUP(Model!K274/5280/30,0))*(1+LOOKUP(I274,'Cost Basis'!A$4:A$13,'Cost Basis'!F$4:F$13))))</f>
        <v>N/A</v>
      </c>
      <c r="M274" s="268" t="str">
        <f t="shared" si="15"/>
        <v>N/A</v>
      </c>
      <c r="N274" s="64" t="s">
        <v>803</v>
      </c>
      <c r="O274" s="253"/>
      <c r="P274" s="69"/>
    </row>
    <row r="275" spans="1:16" x14ac:dyDescent="0.3">
      <c r="A275" s="80">
        <v>3.0799999999999912</v>
      </c>
      <c r="B275" s="59" t="s">
        <v>114</v>
      </c>
      <c r="C275" s="59" t="s">
        <v>236</v>
      </c>
      <c r="D275" s="66">
        <v>-20</v>
      </c>
      <c r="E275" s="66"/>
      <c r="F275" s="59"/>
      <c r="G275" s="59"/>
      <c r="H275" s="87" t="str">
        <f>IF(B275="Projects","N/A",IF(B275="Served","N/A",('Cost Basis'!E$3+('Cost Basis'!C$3*Model!D275))*(1+'Cost Basis'!F$3)))</f>
        <v>N/A</v>
      </c>
      <c r="I275" s="88" t="s">
        <v>403</v>
      </c>
      <c r="J275" s="88" t="s">
        <v>403</v>
      </c>
      <c r="K275" s="61"/>
      <c r="L275" s="62" t="str">
        <f>IF(K275=0,"N/A",(LOOKUP(I275,'Cost Basis'!A$4:A$13,'Cost Basis'!E$4:E$13)+IF(LOOKUP(Model!I275,'Cost Basis'!A$4:A$11)=I275,LOOKUP(Model!I275,'Cost Basis'!A$4:A$11,'Cost Basis'!C$4:C$11)*Model!K275*(1+LOOKUP(I275,'Cost Basis'!A$4:A$13,'Cost Basis'!F$3:F$13)),LOOKUP(Model!I275,'Cost Basis'!A$4:A$13,'Cost Basis'!C$4:C$13)*ROUNDUP(Model!K275/5280/30,0))*(1+LOOKUP(I275,'Cost Basis'!A$4:A$13,'Cost Basis'!F$4:F$13))))</f>
        <v>N/A</v>
      </c>
      <c r="M275" s="268" t="str">
        <f t="shared" si="15"/>
        <v>N/A</v>
      </c>
      <c r="N275" s="64" t="s">
        <v>804</v>
      </c>
      <c r="O275" s="253"/>
      <c r="P275" s="69"/>
    </row>
    <row r="276" spans="1:16" ht="15" thickBot="1" x14ac:dyDescent="0.35">
      <c r="A276" s="108">
        <v>3.0809999999999911</v>
      </c>
      <c r="B276" s="72" t="s">
        <v>114</v>
      </c>
      <c r="C276" s="72" t="s">
        <v>248</v>
      </c>
      <c r="D276" s="73">
        <v>344</v>
      </c>
      <c r="E276" s="73">
        <v>221</v>
      </c>
      <c r="F276" s="72"/>
      <c r="G276" s="72"/>
      <c r="H276" s="89" t="str">
        <f>IF(B276="Projects","N/A",IF(B276="Served","N/A",('Cost Basis'!E$3+('Cost Basis'!C$3*Model!D276))*(1+'Cost Basis'!F$3)))</f>
        <v>N/A</v>
      </c>
      <c r="I276" s="90" t="s">
        <v>403</v>
      </c>
      <c r="J276" s="90" t="s">
        <v>403</v>
      </c>
      <c r="K276" s="75"/>
      <c r="L276" s="76" t="str">
        <f>IF(K276=0,"N/A",(LOOKUP(I276,'Cost Basis'!A$4:A$13,'Cost Basis'!E$4:E$13)+IF(LOOKUP(Model!I276,'Cost Basis'!A$4:A$11)=I276,LOOKUP(Model!I276,'Cost Basis'!A$4:A$11,'Cost Basis'!C$4:C$11)*Model!K276*(1+LOOKUP(I276,'Cost Basis'!A$4:A$13,'Cost Basis'!F$3:F$13)),LOOKUP(Model!I276,'Cost Basis'!A$4:A$13,'Cost Basis'!C$4:C$13)*ROUNDUP(Model!K276/5280/30,0))*(1+LOOKUP(I276,'Cost Basis'!A$4:A$13,'Cost Basis'!F$4:F$13))))</f>
        <v>N/A</v>
      </c>
      <c r="M276" s="269" t="str">
        <f t="shared" si="15"/>
        <v>N/A</v>
      </c>
      <c r="N276" s="77" t="s">
        <v>805</v>
      </c>
      <c r="O276" s="254"/>
      <c r="P276" s="78"/>
    </row>
    <row r="277" spans="1:16" x14ac:dyDescent="0.3">
      <c r="A277" s="109">
        <v>5.0010000000000003</v>
      </c>
      <c r="B277" s="100" t="s">
        <v>11</v>
      </c>
      <c r="C277" s="100" t="s">
        <v>392</v>
      </c>
      <c r="D277" s="100"/>
      <c r="E277" s="100"/>
      <c r="F277" s="100"/>
      <c r="G277" s="100"/>
      <c r="H277" s="101" t="s">
        <v>403</v>
      </c>
      <c r="I277" s="101" t="s">
        <v>403</v>
      </c>
      <c r="J277" s="101" t="s">
        <v>403</v>
      </c>
      <c r="K277" s="102"/>
      <c r="L277" s="103" t="str">
        <f>IF(K277=0,"N/A",(LOOKUP(I277,'Cost Basis'!A$4:A$13,'Cost Basis'!E$4:E$13)+IF(LOOKUP(Model!I277,'Cost Basis'!A$4:A$11)=I277,LOOKUP(Model!I277,'Cost Basis'!A$4:A$11,'Cost Basis'!C$4:C$11)*Model!K277*(1+LOOKUP(I277,'Cost Basis'!A$4:A$13,'Cost Basis'!F$3:F$13)),LOOKUP(Model!I277,'Cost Basis'!A$4:A$13,'Cost Basis'!C$4:C$13)*ROUNDUP(Model!K277/5280/30,0))*(1+LOOKUP(I277,'Cost Basis'!A$4:A$13,'Cost Basis'!F$4:F$13))))</f>
        <v>N/A</v>
      </c>
      <c r="M277" s="270" t="str">
        <f t="shared" si="15"/>
        <v>N/A</v>
      </c>
      <c r="N277" s="104" t="s">
        <v>708</v>
      </c>
      <c r="O277" s="255"/>
      <c r="P277" s="105"/>
    </row>
    <row r="278" spans="1:16" x14ac:dyDescent="0.3">
      <c r="A278" s="80">
        <v>5.0020000000000007</v>
      </c>
      <c r="B278" s="59" t="s">
        <v>11</v>
      </c>
      <c r="C278" s="59" t="s">
        <v>393</v>
      </c>
      <c r="D278" s="59"/>
      <c r="E278" s="59"/>
      <c r="F278" s="59"/>
      <c r="G278" s="59"/>
      <c r="H278" s="88" t="s">
        <v>403</v>
      </c>
      <c r="I278" s="88" t="s">
        <v>403</v>
      </c>
      <c r="J278" s="88" t="s">
        <v>403</v>
      </c>
      <c r="K278" s="61"/>
      <c r="L278" s="62" t="str">
        <f>IF(K278=0,"N/A",(LOOKUP(I278,'Cost Basis'!A$4:A$13,'Cost Basis'!E$4:E$13)+IF(LOOKUP(Model!I278,'Cost Basis'!A$4:A$11)=I278,LOOKUP(Model!I278,'Cost Basis'!A$4:A$11,'Cost Basis'!C$4:C$11)*Model!K278*(1+LOOKUP(I278,'Cost Basis'!A$4:A$13,'Cost Basis'!F$3:F$13)),LOOKUP(Model!I278,'Cost Basis'!A$4:A$13,'Cost Basis'!C$4:C$13)*ROUNDUP(Model!K278/5280/30,0))*(1+LOOKUP(I278,'Cost Basis'!A$4:A$13,'Cost Basis'!F$4:F$13))))</f>
        <v>N/A</v>
      </c>
      <c r="M278" s="268" t="str">
        <f t="shared" si="15"/>
        <v>N/A</v>
      </c>
      <c r="N278" s="64" t="s">
        <v>709</v>
      </c>
      <c r="O278" s="253"/>
      <c r="P278" s="69"/>
    </row>
    <row r="279" spans="1:16" x14ac:dyDescent="0.3">
      <c r="A279" s="80">
        <v>5.003000000000001</v>
      </c>
      <c r="B279" s="59" t="s">
        <v>11</v>
      </c>
      <c r="C279" s="59" t="s">
        <v>394</v>
      </c>
      <c r="D279" s="59"/>
      <c r="E279" s="59"/>
      <c r="F279" s="59"/>
      <c r="G279" s="59"/>
      <c r="H279" s="88" t="s">
        <v>403</v>
      </c>
      <c r="I279" s="88" t="s">
        <v>403</v>
      </c>
      <c r="J279" s="88" t="s">
        <v>403</v>
      </c>
      <c r="K279" s="61"/>
      <c r="L279" s="62" t="str">
        <f>IF(K279=0,"N/A",(LOOKUP(I279,'Cost Basis'!A$4:A$13,'Cost Basis'!E$4:E$13)+IF(LOOKUP(Model!I279,'Cost Basis'!A$4:A$11)=I279,LOOKUP(Model!I279,'Cost Basis'!A$4:A$11,'Cost Basis'!C$4:C$11)*Model!K279*(1+LOOKUP(I279,'Cost Basis'!A$4:A$13,'Cost Basis'!F$3:F$13)),LOOKUP(Model!I279,'Cost Basis'!A$4:A$13,'Cost Basis'!C$4:C$13)*ROUNDUP(Model!K279/5280/30,0))*(1+LOOKUP(I279,'Cost Basis'!A$4:A$13,'Cost Basis'!F$4:F$13))))</f>
        <v>N/A</v>
      </c>
      <c r="M279" s="268" t="str">
        <f t="shared" si="15"/>
        <v>N/A</v>
      </c>
      <c r="N279" s="64" t="s">
        <v>710</v>
      </c>
      <c r="O279" s="253"/>
      <c r="P279" s="69"/>
    </row>
    <row r="280" spans="1:16" x14ac:dyDescent="0.3">
      <c r="A280" s="80">
        <v>5.0040000000000013</v>
      </c>
      <c r="B280" s="59" t="s">
        <v>11</v>
      </c>
      <c r="C280" s="59" t="s">
        <v>395</v>
      </c>
      <c r="D280" s="59"/>
      <c r="E280" s="59"/>
      <c r="F280" s="59"/>
      <c r="G280" s="59"/>
      <c r="H280" s="88" t="s">
        <v>403</v>
      </c>
      <c r="I280" s="88" t="s">
        <v>403</v>
      </c>
      <c r="J280" s="88" t="s">
        <v>403</v>
      </c>
      <c r="K280" s="61"/>
      <c r="L280" s="62" t="str">
        <f>IF(K280=0,"N/A",(LOOKUP(I280,'Cost Basis'!A$4:A$13,'Cost Basis'!E$4:E$13)+IF(LOOKUP(Model!I280,'Cost Basis'!A$4:A$11)=I280,LOOKUP(Model!I280,'Cost Basis'!A$4:A$11,'Cost Basis'!C$4:C$11)*Model!K280*(1+LOOKUP(I280,'Cost Basis'!A$4:A$13,'Cost Basis'!F$3:F$13)),LOOKUP(Model!I280,'Cost Basis'!A$4:A$13,'Cost Basis'!C$4:C$13)*ROUNDUP(Model!K280/5280/30,0))*(1+LOOKUP(I280,'Cost Basis'!A$4:A$13,'Cost Basis'!F$4:F$13))))</f>
        <v>N/A</v>
      </c>
      <c r="M280" s="268" t="str">
        <f t="shared" si="15"/>
        <v>N/A</v>
      </c>
      <c r="N280" s="64" t="s">
        <v>711</v>
      </c>
      <c r="O280" s="253"/>
      <c r="P280" s="69"/>
    </row>
    <row r="281" spans="1:16" x14ac:dyDescent="0.3">
      <c r="A281" s="80">
        <v>5.0050000000000017</v>
      </c>
      <c r="B281" s="59" t="s">
        <v>11</v>
      </c>
      <c r="C281" s="59" t="s">
        <v>396</v>
      </c>
      <c r="D281" s="59"/>
      <c r="E281" s="59"/>
      <c r="F281" s="59"/>
      <c r="G281" s="59"/>
      <c r="H281" s="88" t="s">
        <v>403</v>
      </c>
      <c r="I281" s="88" t="s">
        <v>403</v>
      </c>
      <c r="J281" s="88" t="s">
        <v>403</v>
      </c>
      <c r="K281" s="61"/>
      <c r="L281" s="62" t="str">
        <f>IF(K281=0,"N/A",(LOOKUP(I281,'Cost Basis'!A$4:A$13,'Cost Basis'!E$4:E$13)+IF(LOOKUP(Model!I281,'Cost Basis'!A$4:A$11)=I281,LOOKUP(Model!I281,'Cost Basis'!A$4:A$11,'Cost Basis'!C$4:C$11)*Model!K281*(1+LOOKUP(I281,'Cost Basis'!A$4:A$13,'Cost Basis'!F$3:F$13)),LOOKUP(Model!I281,'Cost Basis'!A$4:A$13,'Cost Basis'!C$4:C$13)*ROUNDUP(Model!K281/5280/30,0))*(1+LOOKUP(I281,'Cost Basis'!A$4:A$13,'Cost Basis'!F$4:F$13))))</f>
        <v>N/A</v>
      </c>
      <c r="M281" s="268" t="str">
        <f t="shared" si="15"/>
        <v>N/A</v>
      </c>
      <c r="N281" s="64" t="s">
        <v>712</v>
      </c>
      <c r="O281" s="253"/>
      <c r="P281" s="69"/>
    </row>
    <row r="282" spans="1:16" x14ac:dyDescent="0.3">
      <c r="A282" s="80">
        <v>5.006000000000002</v>
      </c>
      <c r="B282" s="59" t="s">
        <v>11</v>
      </c>
      <c r="C282" s="59" t="s">
        <v>397</v>
      </c>
      <c r="D282" s="59"/>
      <c r="E282" s="59"/>
      <c r="F282" s="59"/>
      <c r="G282" s="59"/>
      <c r="H282" s="88" t="s">
        <v>403</v>
      </c>
      <c r="I282" s="88" t="s">
        <v>403</v>
      </c>
      <c r="J282" s="88" t="s">
        <v>403</v>
      </c>
      <c r="K282" s="61"/>
      <c r="L282" s="62" t="str">
        <f>IF(K282=0,"N/A",(LOOKUP(I282,'Cost Basis'!A$4:A$13,'Cost Basis'!E$4:E$13)+IF(LOOKUP(Model!I282,'Cost Basis'!A$4:A$11)=I282,LOOKUP(Model!I282,'Cost Basis'!A$4:A$11,'Cost Basis'!C$4:C$11)*Model!K282*(1+LOOKUP(I282,'Cost Basis'!A$4:A$13,'Cost Basis'!F$3:F$13)),LOOKUP(Model!I282,'Cost Basis'!A$4:A$13,'Cost Basis'!C$4:C$13)*ROUNDUP(Model!K282/5280/30,0))*(1+LOOKUP(I282,'Cost Basis'!A$4:A$13,'Cost Basis'!F$4:F$13))))</f>
        <v>N/A</v>
      </c>
      <c r="M282" s="268" t="str">
        <f t="shared" si="15"/>
        <v>N/A</v>
      </c>
      <c r="N282" s="64" t="s">
        <v>713</v>
      </c>
      <c r="O282" s="253"/>
      <c r="P282" s="69"/>
    </row>
    <row r="283" spans="1:16" x14ac:dyDescent="0.3">
      <c r="A283" s="80">
        <v>5.0070000000000023</v>
      </c>
      <c r="B283" s="59" t="s">
        <v>11</v>
      </c>
      <c r="C283" s="59" t="s">
        <v>398</v>
      </c>
      <c r="D283" s="59"/>
      <c r="E283" s="59"/>
      <c r="F283" s="59"/>
      <c r="G283" s="59"/>
      <c r="H283" s="88" t="s">
        <v>403</v>
      </c>
      <c r="I283" s="88" t="s">
        <v>403</v>
      </c>
      <c r="J283" s="88" t="s">
        <v>403</v>
      </c>
      <c r="K283" s="61"/>
      <c r="L283" s="62" t="str">
        <f>IF(K283=0,"N/A",(LOOKUP(I283,'Cost Basis'!A$4:A$13,'Cost Basis'!E$4:E$13)+IF(LOOKUP(Model!I283,'Cost Basis'!A$4:A$11)=I283,LOOKUP(Model!I283,'Cost Basis'!A$4:A$11,'Cost Basis'!C$4:C$11)*Model!K283*(1+LOOKUP(I283,'Cost Basis'!A$4:A$13,'Cost Basis'!F$3:F$13)),LOOKUP(Model!I283,'Cost Basis'!A$4:A$13,'Cost Basis'!C$4:C$13)*ROUNDUP(Model!K283/5280/30,0))*(1+LOOKUP(I283,'Cost Basis'!A$4:A$13,'Cost Basis'!F$4:F$13))))</f>
        <v>N/A</v>
      </c>
      <c r="M283" s="268" t="str">
        <f t="shared" si="15"/>
        <v>N/A</v>
      </c>
      <c r="N283" s="64" t="s">
        <v>714</v>
      </c>
      <c r="O283" s="253"/>
      <c r="P283" s="69"/>
    </row>
    <row r="284" spans="1:16" x14ac:dyDescent="0.3">
      <c r="A284" s="80">
        <v>5.0080000000000027</v>
      </c>
      <c r="B284" s="59" t="s">
        <v>11</v>
      </c>
      <c r="C284" s="59" t="s">
        <v>399</v>
      </c>
      <c r="D284" s="59"/>
      <c r="E284" s="59"/>
      <c r="F284" s="59"/>
      <c r="G284" s="59"/>
      <c r="H284" s="88" t="s">
        <v>403</v>
      </c>
      <c r="I284" s="88" t="s">
        <v>403</v>
      </c>
      <c r="J284" s="88" t="s">
        <v>403</v>
      </c>
      <c r="K284" s="61"/>
      <c r="L284" s="62" t="str">
        <f>IF(K284=0,"N/A",(LOOKUP(I284,'Cost Basis'!A$4:A$13,'Cost Basis'!E$4:E$13)+IF(LOOKUP(Model!I284,'Cost Basis'!A$4:A$11)=I284,LOOKUP(Model!I284,'Cost Basis'!A$4:A$11,'Cost Basis'!C$4:C$11)*Model!K284*(1+LOOKUP(I284,'Cost Basis'!A$4:A$13,'Cost Basis'!F$3:F$13)),LOOKUP(Model!I284,'Cost Basis'!A$4:A$13,'Cost Basis'!C$4:C$13)*ROUNDUP(Model!K284/5280/30,0))*(1+LOOKUP(I284,'Cost Basis'!A$4:A$13,'Cost Basis'!F$4:F$13))))</f>
        <v>N/A</v>
      </c>
      <c r="M284" s="268" t="str">
        <f t="shared" si="15"/>
        <v>N/A</v>
      </c>
      <c r="N284" s="64" t="s">
        <v>715</v>
      </c>
      <c r="O284" s="253"/>
      <c r="P284" s="69"/>
    </row>
    <row r="285" spans="1:16" x14ac:dyDescent="0.3">
      <c r="A285" s="80">
        <v>5.0090000000000003</v>
      </c>
      <c r="B285" s="59" t="s">
        <v>11</v>
      </c>
      <c r="C285" s="59" t="s">
        <v>104</v>
      </c>
      <c r="D285" s="59"/>
      <c r="E285" s="59">
        <v>41</v>
      </c>
      <c r="F285" s="59"/>
      <c r="G285" s="59" t="s">
        <v>415</v>
      </c>
      <c r="H285" s="88" t="s">
        <v>403</v>
      </c>
      <c r="I285" s="88" t="s">
        <v>403</v>
      </c>
      <c r="J285" s="88" t="s">
        <v>403</v>
      </c>
      <c r="K285" s="61"/>
      <c r="L285" s="62" t="str">
        <f>IF(K285=0,"N/A",(LOOKUP(I285,'Cost Basis'!A$4:A$13,'Cost Basis'!E$4:E$13)+IF(LOOKUP(Model!I285,'Cost Basis'!A$4:A$11)=I285,LOOKUP(Model!I285,'Cost Basis'!A$4:A$11,'Cost Basis'!C$4:C$11)*Model!K285*(1+LOOKUP(I285,'Cost Basis'!A$4:A$13,'Cost Basis'!F$3:F$13)),LOOKUP(Model!I285,'Cost Basis'!A$4:A$13,'Cost Basis'!C$4:C$13)*ROUNDUP(Model!K285/5280/30,0))*(1+LOOKUP(I285,'Cost Basis'!A$4:A$13,'Cost Basis'!F$4:F$13))))</f>
        <v>N/A</v>
      </c>
      <c r="M285" s="268" t="str">
        <f t="shared" si="15"/>
        <v>N/A</v>
      </c>
      <c r="N285" s="64" t="s">
        <v>723</v>
      </c>
      <c r="O285" s="253"/>
      <c r="P285" s="69"/>
    </row>
    <row r="286" spans="1:16" x14ac:dyDescent="0.3">
      <c r="A286" s="80">
        <v>5.01</v>
      </c>
      <c r="B286" s="59" t="s">
        <v>11</v>
      </c>
      <c r="C286" s="59" t="s">
        <v>199</v>
      </c>
      <c r="D286" s="59"/>
      <c r="E286" s="59"/>
      <c r="F286" s="59"/>
      <c r="G286" s="59" t="s">
        <v>415</v>
      </c>
      <c r="H286" s="88" t="s">
        <v>403</v>
      </c>
      <c r="I286" s="88" t="s">
        <v>403</v>
      </c>
      <c r="J286" s="88" t="s">
        <v>403</v>
      </c>
      <c r="K286" s="61"/>
      <c r="L286" s="62" t="str">
        <f>IF(K286=0,"N/A",(LOOKUP(I286,'Cost Basis'!A$4:A$13,'Cost Basis'!E$4:E$13)+IF(LOOKUP(Model!I286,'Cost Basis'!A$4:A$11)=I286,LOOKUP(Model!I286,'Cost Basis'!A$4:A$11,'Cost Basis'!C$4:C$11)*Model!K286*(1+LOOKUP(I286,'Cost Basis'!A$4:A$13,'Cost Basis'!F$3:F$13)),LOOKUP(Model!I286,'Cost Basis'!A$4:A$13,'Cost Basis'!C$4:C$13)*ROUNDUP(Model!K286/5280/30,0))*(1+LOOKUP(I286,'Cost Basis'!A$4:A$13,'Cost Basis'!F$4:F$13))))</f>
        <v>N/A</v>
      </c>
      <c r="M286" s="268" t="str">
        <f t="shared" si="15"/>
        <v>N/A</v>
      </c>
      <c r="N286" s="64" t="s">
        <v>958</v>
      </c>
      <c r="O286" s="253"/>
      <c r="P286" s="69"/>
    </row>
    <row r="287" spans="1:16" ht="15" thickBot="1" x14ac:dyDescent="0.35">
      <c r="A287" s="108">
        <v>5.0110000000000001</v>
      </c>
      <c r="B287" s="72" t="s">
        <v>11</v>
      </c>
      <c r="C287" s="72" t="s">
        <v>139</v>
      </c>
      <c r="D287" s="72"/>
      <c r="E287" s="72"/>
      <c r="F287" s="72"/>
      <c r="G287" s="72"/>
      <c r="H287" s="90" t="s">
        <v>403</v>
      </c>
      <c r="I287" s="90" t="s">
        <v>403</v>
      </c>
      <c r="J287" s="90" t="s">
        <v>403</v>
      </c>
      <c r="K287" s="75"/>
      <c r="L287" s="76" t="str">
        <f>IF(K287=0,"N/A",(LOOKUP(I287,'Cost Basis'!A$4:A$13,'Cost Basis'!E$4:E$13)+IF(LOOKUP(Model!I287,'Cost Basis'!A$4:A$11)=I287,LOOKUP(Model!I287,'Cost Basis'!A$4:A$11,'Cost Basis'!C$4:C$11)*Model!K287*(1+LOOKUP(I287,'Cost Basis'!A$4:A$13,'Cost Basis'!F$3:F$13)),LOOKUP(Model!I287,'Cost Basis'!A$4:A$13,'Cost Basis'!C$4:C$13)*ROUNDUP(Model!K287/5280/30,0))*(1+LOOKUP(I287,'Cost Basis'!A$4:A$13,'Cost Basis'!F$4:F$13))))</f>
        <v>N/A</v>
      </c>
      <c r="M287" s="269" t="str">
        <f t="shared" si="15"/>
        <v>N/A</v>
      </c>
      <c r="N287" s="77" t="s">
        <v>960</v>
      </c>
      <c r="O287" s="254"/>
      <c r="P287" s="78"/>
    </row>
    <row r="288" spans="1:16" x14ac:dyDescent="0.3">
      <c r="A288" s="107">
        <v>4.0010000000000003</v>
      </c>
      <c r="B288" s="122" t="s">
        <v>279</v>
      </c>
      <c r="C288" s="91" t="s">
        <v>280</v>
      </c>
      <c r="D288" s="92">
        <v>-20</v>
      </c>
      <c r="E288" s="92"/>
      <c r="F288" s="91"/>
      <c r="G288" s="91"/>
      <c r="H288" s="93" t="str">
        <f>IF(B288="Projects","N/A",IF(B288="Served","N/A",IF(B288="Removed","N/A",('Cost Basis'!E$3+('Cost Basis'!C$3*Model!D288))*(1+'Cost Basis'!F$3))))</f>
        <v>N/A</v>
      </c>
      <c r="I288" s="94" t="s">
        <v>403</v>
      </c>
      <c r="J288" s="94" t="s">
        <v>403</v>
      </c>
      <c r="K288" s="95"/>
      <c r="L288" s="96" t="str">
        <f>IF(K288=0,"N/A",(LOOKUP(I288,'Cost Basis'!A$4:A$13,'Cost Basis'!E$4:E$13)+IF(LOOKUP(Model!I288,'Cost Basis'!A$4:A$11)=I288,LOOKUP(Model!I288,'Cost Basis'!A$4:A$11,'Cost Basis'!C$4:C$11)*Model!K288*(1+LOOKUP(I288,'Cost Basis'!A$4:A$13,'Cost Basis'!F$3:F$13)),LOOKUP(Model!I288,'Cost Basis'!A$4:A$13,'Cost Basis'!C$4:C$13)*ROUNDUP(Model!K288/5280/30,0))*(1+LOOKUP(I288,'Cost Basis'!A$4:A$13,'Cost Basis'!F$4:F$13))))</f>
        <v>N/A</v>
      </c>
      <c r="M288" s="267" t="str">
        <f t="shared" si="15"/>
        <v>N/A</v>
      </c>
      <c r="N288" s="97" t="s">
        <v>806</v>
      </c>
      <c r="O288" s="252"/>
      <c r="P288" s="98"/>
    </row>
    <row r="289" spans="1:16" x14ac:dyDescent="0.3">
      <c r="A289" s="80">
        <v>4.0020000000000007</v>
      </c>
      <c r="B289" s="123" t="s">
        <v>279</v>
      </c>
      <c r="C289" s="59" t="s">
        <v>281</v>
      </c>
      <c r="D289" s="65">
        <v>1306</v>
      </c>
      <c r="E289" s="65">
        <v>903</v>
      </c>
      <c r="F289" s="59"/>
      <c r="G289" s="59"/>
      <c r="H289" s="87" t="str">
        <f>IF(B289="Projects","N/A",IF(B289="Served","N/A",('Cost Basis'!E$3+('Cost Basis'!C$3*Model!D289))*(1+'Cost Basis'!F$3)))</f>
        <v>N/A</v>
      </c>
      <c r="I289" s="88" t="s">
        <v>403</v>
      </c>
      <c r="J289" s="88" t="s">
        <v>403</v>
      </c>
      <c r="K289" s="61"/>
      <c r="L289" s="62" t="str">
        <f>IF(K289=0,"N/A",(LOOKUP(I289,'Cost Basis'!A$4:A$13,'Cost Basis'!E$4:E$13)+IF(LOOKUP(Model!I289,'Cost Basis'!A$4:A$11)=I289,LOOKUP(Model!I289,'Cost Basis'!A$4:A$11,'Cost Basis'!C$4:C$11)*Model!K289*(1+LOOKUP(I289,'Cost Basis'!A$4:A$13,'Cost Basis'!F$3:F$13)),LOOKUP(Model!I289,'Cost Basis'!A$4:A$13,'Cost Basis'!C$4:C$13)*ROUNDUP(Model!K289/5280/30,0))*(1+LOOKUP(I289,'Cost Basis'!A$4:A$13,'Cost Basis'!F$4:F$13))))</f>
        <v>N/A</v>
      </c>
      <c r="M289" s="268" t="str">
        <f t="shared" si="15"/>
        <v>N/A</v>
      </c>
      <c r="N289" s="64" t="s">
        <v>807</v>
      </c>
      <c r="O289" s="253"/>
      <c r="P289" s="69"/>
    </row>
    <row r="290" spans="1:16" x14ac:dyDescent="0.3">
      <c r="A290" s="80">
        <v>4.003000000000001</v>
      </c>
      <c r="B290" s="123" t="s">
        <v>279</v>
      </c>
      <c r="C290" s="59" t="s">
        <v>282</v>
      </c>
      <c r="D290" s="65">
        <v>118293</v>
      </c>
      <c r="E290" s="65">
        <v>106970</v>
      </c>
      <c r="F290" s="59"/>
      <c r="G290" s="59"/>
      <c r="H290" s="87" t="str">
        <f>IF(B290="Projects","N/A",IF(B290="Served","N/A",('Cost Basis'!E$3+('Cost Basis'!C$3*Model!D290))*(1+'Cost Basis'!F$3)))</f>
        <v>N/A</v>
      </c>
      <c r="I290" s="88" t="s">
        <v>403</v>
      </c>
      <c r="J290" s="88" t="s">
        <v>403</v>
      </c>
      <c r="K290" s="61"/>
      <c r="L290" s="62" t="str">
        <f>IF(K290=0,"N/A",(LOOKUP(I290,'Cost Basis'!A$4:A$13,'Cost Basis'!E$4:E$13)+IF(LOOKUP(Model!I290,'Cost Basis'!A$4:A$11)=I290,LOOKUP(Model!I290,'Cost Basis'!A$4:A$11,'Cost Basis'!C$4:C$11)*Model!K290*(1+LOOKUP(I290,'Cost Basis'!A$4:A$13,'Cost Basis'!F$3:F$13)),LOOKUP(Model!I290,'Cost Basis'!A$4:A$13,'Cost Basis'!C$4:C$13)*ROUNDUP(Model!K290/5280/30,0))*(1+LOOKUP(I290,'Cost Basis'!A$4:A$13,'Cost Basis'!F$4:F$13))))</f>
        <v>N/A</v>
      </c>
      <c r="M290" s="268" t="str">
        <f t="shared" si="15"/>
        <v>N/A</v>
      </c>
      <c r="N290" s="64" t="s">
        <v>808</v>
      </c>
      <c r="O290" s="253"/>
      <c r="P290" s="69"/>
    </row>
    <row r="291" spans="1:16" x14ac:dyDescent="0.3">
      <c r="A291" s="80">
        <v>4.0040000000000013</v>
      </c>
      <c r="B291" s="123" t="s">
        <v>279</v>
      </c>
      <c r="C291" s="59" t="s">
        <v>283</v>
      </c>
      <c r="D291" s="65">
        <v>146</v>
      </c>
      <c r="E291" s="65">
        <v>61</v>
      </c>
      <c r="F291" s="59"/>
      <c r="G291" s="59"/>
      <c r="H291" s="87" t="str">
        <f>IF(B291="Projects","N/A",IF(B291="Served","N/A",('Cost Basis'!E$3+('Cost Basis'!C$3*Model!D291))*(1+'Cost Basis'!F$3)))</f>
        <v>N/A</v>
      </c>
      <c r="I291" s="88" t="s">
        <v>403</v>
      </c>
      <c r="J291" s="88" t="s">
        <v>403</v>
      </c>
      <c r="K291" s="61"/>
      <c r="L291" s="62" t="str">
        <f>IF(K291=0,"N/A",(LOOKUP(I291,'Cost Basis'!A$4:A$13,'Cost Basis'!E$4:E$13)+IF(LOOKUP(Model!I291,'Cost Basis'!A$4:A$11)=I291,LOOKUP(Model!I291,'Cost Basis'!A$4:A$11,'Cost Basis'!C$4:C$11)*Model!K291*(1+LOOKUP(I291,'Cost Basis'!A$4:A$13,'Cost Basis'!F$3:F$13)),LOOKUP(Model!I291,'Cost Basis'!A$4:A$13,'Cost Basis'!C$4:C$13)*ROUNDUP(Model!K291/5280/30,0))*(1+LOOKUP(I291,'Cost Basis'!A$4:A$13,'Cost Basis'!F$4:F$13))))</f>
        <v>N/A</v>
      </c>
      <c r="M291" s="268" t="str">
        <f t="shared" si="15"/>
        <v>N/A</v>
      </c>
      <c r="N291" s="64" t="s">
        <v>809</v>
      </c>
      <c r="O291" s="253"/>
      <c r="P291" s="69"/>
    </row>
    <row r="292" spans="1:16" x14ac:dyDescent="0.3">
      <c r="A292" s="80">
        <v>4.0050000000000017</v>
      </c>
      <c r="B292" s="123" t="s">
        <v>279</v>
      </c>
      <c r="C292" s="59" t="s">
        <v>284</v>
      </c>
      <c r="D292" s="65">
        <v>250</v>
      </c>
      <c r="E292" s="65">
        <v>142</v>
      </c>
      <c r="F292" s="59"/>
      <c r="G292" s="59"/>
      <c r="H292" s="87" t="str">
        <f>IF(B292="Projects","N/A",IF(B292="Served","N/A",('Cost Basis'!E$3+('Cost Basis'!C$3*Model!D292))*(1+'Cost Basis'!F$3)))</f>
        <v>N/A</v>
      </c>
      <c r="I292" s="88" t="s">
        <v>403</v>
      </c>
      <c r="J292" s="88" t="s">
        <v>403</v>
      </c>
      <c r="K292" s="61"/>
      <c r="L292" s="62" t="str">
        <f>IF(K292=0,"N/A",(LOOKUP(I292,'Cost Basis'!A$4:A$13,'Cost Basis'!E$4:E$13)+IF(LOOKUP(Model!I292,'Cost Basis'!A$4:A$11)=I292,LOOKUP(Model!I292,'Cost Basis'!A$4:A$11,'Cost Basis'!C$4:C$11)*Model!K292*(1+LOOKUP(I292,'Cost Basis'!A$4:A$13,'Cost Basis'!F$3:F$13)),LOOKUP(Model!I292,'Cost Basis'!A$4:A$13,'Cost Basis'!C$4:C$13)*ROUNDUP(Model!K292/5280/30,0))*(1+LOOKUP(I292,'Cost Basis'!A$4:A$13,'Cost Basis'!F$4:F$13))))</f>
        <v>N/A</v>
      </c>
      <c r="M292" s="268" t="str">
        <f t="shared" si="15"/>
        <v>N/A</v>
      </c>
      <c r="N292" s="64" t="s">
        <v>810</v>
      </c>
      <c r="O292" s="253"/>
      <c r="P292" s="69"/>
    </row>
    <row r="293" spans="1:16" x14ac:dyDescent="0.3">
      <c r="A293" s="80">
        <v>4.006000000000002</v>
      </c>
      <c r="B293" s="123" t="s">
        <v>279</v>
      </c>
      <c r="C293" s="59" t="s">
        <v>285</v>
      </c>
      <c r="D293" s="65">
        <v>51</v>
      </c>
      <c r="E293" s="65">
        <v>36</v>
      </c>
      <c r="F293" s="59"/>
      <c r="G293" s="59"/>
      <c r="H293" s="87" t="str">
        <f>IF(B293="Projects","N/A",IF(B293="Served","N/A",('Cost Basis'!E$3+('Cost Basis'!C$3*Model!D293))*(1+'Cost Basis'!F$3)))</f>
        <v>N/A</v>
      </c>
      <c r="I293" s="88" t="s">
        <v>403</v>
      </c>
      <c r="J293" s="88" t="s">
        <v>403</v>
      </c>
      <c r="K293" s="61"/>
      <c r="L293" s="62" t="str">
        <f>IF(K293=0,"N/A",(LOOKUP(I293,'Cost Basis'!A$4:A$13,'Cost Basis'!E$4:E$13)+IF(LOOKUP(Model!I293,'Cost Basis'!A$4:A$11)=I293,LOOKUP(Model!I293,'Cost Basis'!A$4:A$11,'Cost Basis'!C$4:C$11)*Model!K293*(1+LOOKUP(I293,'Cost Basis'!A$4:A$13,'Cost Basis'!F$3:F$13)),LOOKUP(Model!I293,'Cost Basis'!A$4:A$13,'Cost Basis'!C$4:C$13)*ROUNDUP(Model!K293/5280/30,0))*(1+LOOKUP(I293,'Cost Basis'!A$4:A$13,'Cost Basis'!F$4:F$13))))</f>
        <v>N/A</v>
      </c>
      <c r="M293" s="268" t="str">
        <f t="shared" si="15"/>
        <v>N/A</v>
      </c>
      <c r="N293" s="64" t="s">
        <v>811</v>
      </c>
      <c r="O293" s="253"/>
      <c r="P293" s="69"/>
    </row>
    <row r="294" spans="1:16" x14ac:dyDescent="0.3">
      <c r="A294" s="80">
        <v>4.0070000000000023</v>
      </c>
      <c r="B294" s="123" t="s">
        <v>279</v>
      </c>
      <c r="C294" s="59" t="s">
        <v>286</v>
      </c>
      <c r="D294" s="65" t="s">
        <v>400</v>
      </c>
      <c r="E294" s="65"/>
      <c r="F294" s="59"/>
      <c r="G294" s="59"/>
      <c r="H294" s="87" t="str">
        <f>IF(B294="Projects","N/A",IF(B294="Served","N/A",('Cost Basis'!E$3+('Cost Basis'!C$3*Model!D294))*(1+'Cost Basis'!F$3)))</f>
        <v>N/A</v>
      </c>
      <c r="I294" s="88" t="s">
        <v>403</v>
      </c>
      <c r="J294" s="88" t="s">
        <v>403</v>
      </c>
      <c r="K294" s="61"/>
      <c r="L294" s="62" t="str">
        <f>IF(K294=0,"N/A",(LOOKUP(I294,'Cost Basis'!A$4:A$13,'Cost Basis'!E$4:E$13)+IF(LOOKUP(Model!I294,'Cost Basis'!A$4:A$11)=I294,LOOKUP(Model!I294,'Cost Basis'!A$4:A$11,'Cost Basis'!C$4:C$11)*Model!K294*(1+LOOKUP(I294,'Cost Basis'!A$4:A$13,'Cost Basis'!F$3:F$13)),LOOKUP(Model!I294,'Cost Basis'!A$4:A$13,'Cost Basis'!C$4:C$13)*ROUNDUP(Model!K294/5280/30,0))*(1+LOOKUP(I294,'Cost Basis'!A$4:A$13,'Cost Basis'!F$4:F$13))))</f>
        <v>N/A</v>
      </c>
      <c r="M294" s="268" t="str">
        <f t="shared" si="15"/>
        <v>N/A</v>
      </c>
      <c r="N294" s="64" t="s">
        <v>812</v>
      </c>
      <c r="O294" s="253"/>
      <c r="P294" s="69"/>
    </row>
    <row r="295" spans="1:16" x14ac:dyDescent="0.3">
      <c r="A295" s="80">
        <v>4.0080000000000027</v>
      </c>
      <c r="B295" s="123" t="s">
        <v>279</v>
      </c>
      <c r="C295" s="59" t="s">
        <v>287</v>
      </c>
      <c r="D295" s="65">
        <v>8268</v>
      </c>
      <c r="E295" s="65">
        <v>6805</v>
      </c>
      <c r="F295" s="59"/>
      <c r="G295" s="59"/>
      <c r="H295" s="87" t="str">
        <f>IF(B295="Projects","N/A",IF(B295="Served","N/A",('Cost Basis'!E$3+('Cost Basis'!C$3*Model!D295))*(1+'Cost Basis'!F$3)))</f>
        <v>N/A</v>
      </c>
      <c r="I295" s="88" t="s">
        <v>403</v>
      </c>
      <c r="J295" s="88" t="s">
        <v>403</v>
      </c>
      <c r="K295" s="61"/>
      <c r="L295" s="62" t="str">
        <f>IF(K295=0,"N/A",(LOOKUP(I295,'Cost Basis'!A$4:A$13,'Cost Basis'!E$4:E$13)+IF(LOOKUP(Model!I295,'Cost Basis'!A$4:A$11)=I295,LOOKUP(Model!I295,'Cost Basis'!A$4:A$11,'Cost Basis'!C$4:C$11)*Model!K295*(1+LOOKUP(I295,'Cost Basis'!A$4:A$13,'Cost Basis'!F$3:F$13)),LOOKUP(Model!I295,'Cost Basis'!A$4:A$13,'Cost Basis'!C$4:C$13)*ROUNDUP(Model!K295/5280/30,0))*(1+LOOKUP(I295,'Cost Basis'!A$4:A$13,'Cost Basis'!F$4:F$13))))</f>
        <v>N/A</v>
      </c>
      <c r="M295" s="268" t="str">
        <f t="shared" si="15"/>
        <v>N/A</v>
      </c>
      <c r="N295" s="64" t="s">
        <v>813</v>
      </c>
      <c r="O295" s="253"/>
      <c r="P295" s="69"/>
    </row>
    <row r="296" spans="1:16" x14ac:dyDescent="0.3">
      <c r="A296" s="80">
        <v>4.009000000000003</v>
      </c>
      <c r="B296" s="123" t="s">
        <v>279</v>
      </c>
      <c r="C296" s="59" t="s">
        <v>289</v>
      </c>
      <c r="D296" s="65">
        <v>716</v>
      </c>
      <c r="E296" s="65">
        <v>481</v>
      </c>
      <c r="F296" s="59"/>
      <c r="G296" s="59"/>
      <c r="H296" s="87" t="str">
        <f>IF(B296="Projects","N/A",IF(B296="Served","N/A",('Cost Basis'!E$3+('Cost Basis'!C$3*Model!D296))*(1+'Cost Basis'!F$3)))</f>
        <v>N/A</v>
      </c>
      <c r="I296" s="88" t="s">
        <v>403</v>
      </c>
      <c r="J296" s="88" t="s">
        <v>403</v>
      </c>
      <c r="K296" s="61"/>
      <c r="L296" s="62" t="str">
        <f>IF(K296=0,"N/A",(LOOKUP(I296,'Cost Basis'!A$4:A$13,'Cost Basis'!E$4:E$13)+IF(LOOKUP(Model!I296,'Cost Basis'!A$4:A$11)=I296,LOOKUP(Model!I296,'Cost Basis'!A$4:A$11,'Cost Basis'!C$4:C$11)*Model!K296*(1+LOOKUP(I296,'Cost Basis'!A$4:A$13,'Cost Basis'!F$3:F$13)),LOOKUP(Model!I296,'Cost Basis'!A$4:A$13,'Cost Basis'!C$4:C$13)*ROUNDUP(Model!K296/5280/30,0))*(1+LOOKUP(I296,'Cost Basis'!A$4:A$13,'Cost Basis'!F$4:F$13))))</f>
        <v>N/A</v>
      </c>
      <c r="M296" s="268" t="str">
        <f t="shared" si="15"/>
        <v>N/A</v>
      </c>
      <c r="N296" s="64" t="s">
        <v>814</v>
      </c>
      <c r="O296" s="253"/>
      <c r="P296" s="69"/>
    </row>
    <row r="297" spans="1:16" x14ac:dyDescent="0.3">
      <c r="A297" s="80">
        <v>4.0100000000000033</v>
      </c>
      <c r="B297" s="123" t="s">
        <v>279</v>
      </c>
      <c r="C297" s="59" t="s">
        <v>288</v>
      </c>
      <c r="D297" s="65" t="s">
        <v>401</v>
      </c>
      <c r="E297" s="65"/>
      <c r="F297" s="59"/>
      <c r="G297" s="59"/>
      <c r="H297" s="87" t="str">
        <f>IF(B297="Projects","N/A",IF(B297="Served","N/A",('Cost Basis'!E$3+('Cost Basis'!C$3*Model!D297))*(1+'Cost Basis'!F$3)))</f>
        <v>N/A</v>
      </c>
      <c r="I297" s="88" t="s">
        <v>403</v>
      </c>
      <c r="J297" s="88" t="s">
        <v>403</v>
      </c>
      <c r="K297" s="61"/>
      <c r="L297" s="62" t="str">
        <f>IF(K297=0,"N/A",(LOOKUP(I297,'Cost Basis'!A$4:A$13,'Cost Basis'!E$4:E$13)+IF(LOOKUP(Model!I297,'Cost Basis'!A$4:A$11)=I297,LOOKUP(Model!I297,'Cost Basis'!A$4:A$11,'Cost Basis'!C$4:C$11)*Model!K297*(1+LOOKUP(I297,'Cost Basis'!A$4:A$13,'Cost Basis'!F$3:F$13)),LOOKUP(Model!I297,'Cost Basis'!A$4:A$13,'Cost Basis'!C$4:C$13)*ROUNDUP(Model!K297/5280/30,0))*(1+LOOKUP(I297,'Cost Basis'!A$4:A$13,'Cost Basis'!F$4:F$13))))</f>
        <v>N/A</v>
      </c>
      <c r="M297" s="268" t="str">
        <f t="shared" si="15"/>
        <v>N/A</v>
      </c>
      <c r="N297" s="64" t="s">
        <v>815</v>
      </c>
      <c r="O297" s="253"/>
      <c r="P297" s="69"/>
    </row>
    <row r="298" spans="1:16" x14ac:dyDescent="0.3">
      <c r="A298" s="80">
        <v>4.0110000000000037</v>
      </c>
      <c r="B298" s="123" t="s">
        <v>279</v>
      </c>
      <c r="C298" s="59" t="s">
        <v>290</v>
      </c>
      <c r="D298" s="65">
        <v>352</v>
      </c>
      <c r="E298" s="65">
        <v>247</v>
      </c>
      <c r="F298" s="59"/>
      <c r="G298" s="59"/>
      <c r="H298" s="87" t="str">
        <f>IF(B298="Projects","N/A",IF(B298="Served","N/A",('Cost Basis'!E$3+('Cost Basis'!C$3*Model!D298))*(1+'Cost Basis'!F$3)))</f>
        <v>N/A</v>
      </c>
      <c r="I298" s="88" t="s">
        <v>403</v>
      </c>
      <c r="J298" s="88" t="s">
        <v>403</v>
      </c>
      <c r="K298" s="61"/>
      <c r="L298" s="62" t="str">
        <f>IF(K298=0,"N/A",(LOOKUP(I298,'Cost Basis'!A$4:A$13,'Cost Basis'!E$4:E$13)+IF(LOOKUP(Model!I298,'Cost Basis'!A$4:A$11)=I298,LOOKUP(Model!I298,'Cost Basis'!A$4:A$11,'Cost Basis'!C$4:C$11)*Model!K298*(1+LOOKUP(I298,'Cost Basis'!A$4:A$13,'Cost Basis'!F$3:F$13)),LOOKUP(Model!I298,'Cost Basis'!A$4:A$13,'Cost Basis'!C$4:C$13)*ROUNDUP(Model!K298/5280/30,0))*(1+LOOKUP(I298,'Cost Basis'!A$4:A$13,'Cost Basis'!F$4:F$13))))</f>
        <v>N/A</v>
      </c>
      <c r="M298" s="268" t="str">
        <f t="shared" si="15"/>
        <v>N/A</v>
      </c>
      <c r="N298" s="64" t="s">
        <v>816</v>
      </c>
      <c r="O298" s="253"/>
      <c r="P298" s="69"/>
    </row>
    <row r="299" spans="1:16" x14ac:dyDescent="0.3">
      <c r="A299" s="80">
        <v>4.012000000000004</v>
      </c>
      <c r="B299" s="123" t="s">
        <v>279</v>
      </c>
      <c r="C299" s="59" t="s">
        <v>291</v>
      </c>
      <c r="D299" s="65">
        <v>2579</v>
      </c>
      <c r="E299" s="65">
        <v>1040</v>
      </c>
      <c r="F299" s="59"/>
      <c r="G299" s="59"/>
      <c r="H299" s="87" t="str">
        <f>IF(B299="Projects","N/A",IF(B299="Served","N/A",('Cost Basis'!E$3+('Cost Basis'!C$3*Model!D299))*(1+'Cost Basis'!F$3)))</f>
        <v>N/A</v>
      </c>
      <c r="I299" s="88" t="s">
        <v>403</v>
      </c>
      <c r="J299" s="88" t="s">
        <v>403</v>
      </c>
      <c r="K299" s="61"/>
      <c r="L299" s="62" t="str">
        <f>IF(K299=0,"N/A",(LOOKUP(I299,'Cost Basis'!A$4:A$13,'Cost Basis'!E$4:E$13)+IF(LOOKUP(Model!I299,'Cost Basis'!A$4:A$11)=I299,LOOKUP(Model!I299,'Cost Basis'!A$4:A$11,'Cost Basis'!C$4:C$11)*Model!K299*(1+LOOKUP(I299,'Cost Basis'!A$4:A$13,'Cost Basis'!F$3:F$13)),LOOKUP(Model!I299,'Cost Basis'!A$4:A$13,'Cost Basis'!C$4:C$13)*ROUNDUP(Model!K299/5280/30,0))*(1+LOOKUP(I299,'Cost Basis'!A$4:A$13,'Cost Basis'!F$4:F$13))))</f>
        <v>N/A</v>
      </c>
      <c r="M299" s="268" t="str">
        <f t="shared" si="15"/>
        <v>N/A</v>
      </c>
      <c r="N299" s="64" t="s">
        <v>817</v>
      </c>
      <c r="O299" s="253"/>
      <c r="P299" s="69"/>
    </row>
    <row r="300" spans="1:16" x14ac:dyDescent="0.3">
      <c r="A300" s="80">
        <v>4.0130000000000043</v>
      </c>
      <c r="B300" s="123" t="s">
        <v>279</v>
      </c>
      <c r="C300" s="59" t="s">
        <v>292</v>
      </c>
      <c r="D300" s="65" t="s">
        <v>402</v>
      </c>
      <c r="E300" s="65"/>
      <c r="F300" s="59"/>
      <c r="G300" s="59"/>
      <c r="H300" s="87" t="str">
        <f>IF(B300="Projects","N/A",IF(B300="Served","N/A",('Cost Basis'!E$3+('Cost Basis'!C$3*Model!D300))*(1+'Cost Basis'!F$3)))</f>
        <v>N/A</v>
      </c>
      <c r="I300" s="88" t="s">
        <v>403</v>
      </c>
      <c r="J300" s="88" t="s">
        <v>403</v>
      </c>
      <c r="K300" s="61"/>
      <c r="L300" s="62" t="str">
        <f>IF(K300=0,"N/A",(LOOKUP(I300,'Cost Basis'!A$4:A$13,'Cost Basis'!E$4:E$13)+IF(LOOKUP(Model!I300,'Cost Basis'!A$4:A$11)=I300,LOOKUP(Model!I300,'Cost Basis'!A$4:A$11,'Cost Basis'!C$4:C$11)*Model!K300*(1+LOOKUP(I300,'Cost Basis'!A$4:A$13,'Cost Basis'!F$3:F$13)),LOOKUP(Model!I300,'Cost Basis'!A$4:A$13,'Cost Basis'!C$4:C$13)*ROUNDUP(Model!K300/5280/30,0))*(1+LOOKUP(I300,'Cost Basis'!A$4:A$13,'Cost Basis'!F$4:F$13))))</f>
        <v>N/A</v>
      </c>
      <c r="M300" s="268" t="str">
        <f t="shared" si="15"/>
        <v>N/A</v>
      </c>
      <c r="N300" s="64" t="s">
        <v>818</v>
      </c>
      <c r="O300" s="253"/>
      <c r="P300" s="69"/>
    </row>
    <row r="301" spans="1:16" x14ac:dyDescent="0.3">
      <c r="A301" s="80">
        <v>4.0140000000000047</v>
      </c>
      <c r="B301" s="123" t="s">
        <v>279</v>
      </c>
      <c r="C301" s="59" t="s">
        <v>293</v>
      </c>
      <c r="D301" s="65" t="s">
        <v>402</v>
      </c>
      <c r="E301" s="65"/>
      <c r="F301" s="59"/>
      <c r="G301" s="59"/>
      <c r="H301" s="87" t="str">
        <f>IF(B301="Projects","N/A",IF(B301="Served","N/A",('Cost Basis'!E$3+('Cost Basis'!C$3*Model!D301))*(1+'Cost Basis'!F$3)))</f>
        <v>N/A</v>
      </c>
      <c r="I301" s="88" t="s">
        <v>403</v>
      </c>
      <c r="J301" s="88" t="s">
        <v>403</v>
      </c>
      <c r="K301" s="61"/>
      <c r="L301" s="62" t="str">
        <f>IF(K301=0,"N/A",(LOOKUP(I301,'Cost Basis'!A$4:A$13,'Cost Basis'!E$4:E$13)+IF(LOOKUP(Model!I301,'Cost Basis'!A$4:A$11)=I301,LOOKUP(Model!I301,'Cost Basis'!A$4:A$11,'Cost Basis'!C$4:C$11)*Model!K301*(1+LOOKUP(I301,'Cost Basis'!A$4:A$13,'Cost Basis'!F$3:F$13)),LOOKUP(Model!I301,'Cost Basis'!A$4:A$13,'Cost Basis'!C$4:C$13)*ROUNDUP(Model!K301/5280/30,0))*(1+LOOKUP(I301,'Cost Basis'!A$4:A$13,'Cost Basis'!F$4:F$13))))</f>
        <v>N/A</v>
      </c>
      <c r="M301" s="268" t="str">
        <f t="shared" si="15"/>
        <v>N/A</v>
      </c>
      <c r="N301" s="64" t="s">
        <v>819</v>
      </c>
      <c r="O301" s="253"/>
      <c r="P301" s="69"/>
    </row>
    <row r="302" spans="1:16" x14ac:dyDescent="0.3">
      <c r="A302" s="80">
        <v>4.015000000000005</v>
      </c>
      <c r="B302" s="123" t="s">
        <v>279</v>
      </c>
      <c r="C302" s="59" t="s">
        <v>294</v>
      </c>
      <c r="D302" s="65">
        <v>361</v>
      </c>
      <c r="E302" s="65">
        <v>298</v>
      </c>
      <c r="F302" s="59"/>
      <c r="G302" s="59"/>
      <c r="H302" s="87" t="str">
        <f>IF(B302="Projects","N/A",IF(B302="Served","N/A",('Cost Basis'!E$3+('Cost Basis'!C$3*Model!D302))*(1+'Cost Basis'!F$3)))</f>
        <v>N/A</v>
      </c>
      <c r="I302" s="88" t="s">
        <v>403</v>
      </c>
      <c r="J302" s="88" t="s">
        <v>403</v>
      </c>
      <c r="K302" s="61"/>
      <c r="L302" s="62" t="str">
        <f>IF(K302=0,"N/A",(LOOKUP(I302,'Cost Basis'!A$4:A$13,'Cost Basis'!E$4:E$13)+IF(LOOKUP(Model!I302,'Cost Basis'!A$4:A$11)=I302,LOOKUP(Model!I302,'Cost Basis'!A$4:A$11,'Cost Basis'!C$4:C$11)*Model!K302*(1+LOOKUP(I302,'Cost Basis'!A$4:A$13,'Cost Basis'!F$3:F$13)),LOOKUP(Model!I302,'Cost Basis'!A$4:A$13,'Cost Basis'!C$4:C$13)*ROUNDUP(Model!K302/5280/30,0))*(1+LOOKUP(I302,'Cost Basis'!A$4:A$13,'Cost Basis'!F$4:F$13))))</f>
        <v>N/A</v>
      </c>
      <c r="M302" s="268" t="str">
        <f t="shared" si="15"/>
        <v>N/A</v>
      </c>
      <c r="N302" s="64" t="s">
        <v>820</v>
      </c>
      <c r="O302" s="253"/>
      <c r="P302" s="69"/>
    </row>
    <row r="303" spans="1:16" x14ac:dyDescent="0.3">
      <c r="A303" s="80">
        <v>4.0160000000000053</v>
      </c>
      <c r="B303" s="123" t="s">
        <v>279</v>
      </c>
      <c r="C303" s="59" t="s">
        <v>295</v>
      </c>
      <c r="D303" s="65">
        <v>1257</v>
      </c>
      <c r="E303" s="65">
        <v>1131</v>
      </c>
      <c r="F303" s="59"/>
      <c r="G303" s="59"/>
      <c r="H303" s="87" t="str">
        <f>IF(B303="Projects","N/A",IF(B303="Served","N/A",('Cost Basis'!E$3+('Cost Basis'!C$3*Model!D303))*(1+'Cost Basis'!F$3)))</f>
        <v>N/A</v>
      </c>
      <c r="I303" s="88" t="s">
        <v>403</v>
      </c>
      <c r="J303" s="88" t="s">
        <v>403</v>
      </c>
      <c r="K303" s="61"/>
      <c r="L303" s="62" t="str">
        <f>IF(K303=0,"N/A",(LOOKUP(I303,'Cost Basis'!A$4:A$13,'Cost Basis'!E$4:E$13)+IF(LOOKUP(Model!I303,'Cost Basis'!A$4:A$11)=I303,LOOKUP(Model!I303,'Cost Basis'!A$4:A$11,'Cost Basis'!C$4:C$11)*Model!K303*(1+LOOKUP(I303,'Cost Basis'!A$4:A$13,'Cost Basis'!F$3:F$13)),LOOKUP(Model!I303,'Cost Basis'!A$4:A$13,'Cost Basis'!C$4:C$13)*ROUNDUP(Model!K303/5280/30,0))*(1+LOOKUP(I303,'Cost Basis'!A$4:A$13,'Cost Basis'!F$4:F$13))))</f>
        <v>N/A</v>
      </c>
      <c r="M303" s="268" t="str">
        <f t="shared" si="15"/>
        <v>N/A</v>
      </c>
      <c r="N303" s="64" t="s">
        <v>821</v>
      </c>
      <c r="O303" s="253"/>
      <c r="P303" s="69"/>
    </row>
    <row r="304" spans="1:16" x14ac:dyDescent="0.3">
      <c r="A304" s="80">
        <v>4.0170000000000057</v>
      </c>
      <c r="B304" s="123" t="s">
        <v>279</v>
      </c>
      <c r="C304" s="59" t="s">
        <v>296</v>
      </c>
      <c r="D304" s="65">
        <v>238</v>
      </c>
      <c r="E304" s="65">
        <v>114</v>
      </c>
      <c r="F304" s="59"/>
      <c r="G304" s="59"/>
      <c r="H304" s="87" t="str">
        <f>IF(B304="Projects","N/A",IF(B304="Served","N/A",('Cost Basis'!E$3+('Cost Basis'!C$3*Model!D304))*(1+'Cost Basis'!F$3)))</f>
        <v>N/A</v>
      </c>
      <c r="I304" s="88" t="s">
        <v>403</v>
      </c>
      <c r="J304" s="88" t="s">
        <v>403</v>
      </c>
      <c r="K304" s="61"/>
      <c r="L304" s="62" t="str">
        <f>IF(K304=0,"N/A",(LOOKUP(I304,'Cost Basis'!A$4:A$13,'Cost Basis'!E$4:E$13)+IF(LOOKUP(Model!I304,'Cost Basis'!A$4:A$11)=I304,LOOKUP(Model!I304,'Cost Basis'!A$4:A$11,'Cost Basis'!C$4:C$11)*Model!K304*(1+LOOKUP(I304,'Cost Basis'!A$4:A$13,'Cost Basis'!F$3:F$13)),LOOKUP(Model!I304,'Cost Basis'!A$4:A$13,'Cost Basis'!C$4:C$13)*ROUNDUP(Model!K304/5280/30,0))*(1+LOOKUP(I304,'Cost Basis'!A$4:A$13,'Cost Basis'!F$4:F$13))))</f>
        <v>N/A</v>
      </c>
      <c r="M304" s="268" t="str">
        <f t="shared" si="15"/>
        <v>N/A</v>
      </c>
      <c r="N304" s="64" t="s">
        <v>822</v>
      </c>
      <c r="O304" s="253"/>
      <c r="P304" s="69"/>
    </row>
    <row r="305" spans="1:16" x14ac:dyDescent="0.3">
      <c r="A305" s="80">
        <v>4.018000000000006</v>
      </c>
      <c r="B305" s="123" t="s">
        <v>279</v>
      </c>
      <c r="C305" s="59" t="s">
        <v>297</v>
      </c>
      <c r="D305" s="65">
        <v>217</v>
      </c>
      <c r="E305" s="65">
        <v>0</v>
      </c>
      <c r="F305" s="59"/>
      <c r="G305" s="59"/>
      <c r="H305" s="87" t="str">
        <f>IF(B305="Projects","N/A",IF(B305="Served","N/A",('Cost Basis'!E$3+('Cost Basis'!C$3*Model!D305))*(1+'Cost Basis'!F$3)))</f>
        <v>N/A</v>
      </c>
      <c r="I305" s="88" t="s">
        <v>403</v>
      </c>
      <c r="J305" s="88" t="s">
        <v>403</v>
      </c>
      <c r="K305" s="61"/>
      <c r="L305" s="62" t="str">
        <f>IF(K305=0,"N/A",(LOOKUP(I305,'Cost Basis'!A$4:A$13,'Cost Basis'!E$4:E$13)+IF(LOOKUP(Model!I305,'Cost Basis'!A$4:A$11)=I305,LOOKUP(Model!I305,'Cost Basis'!A$4:A$11,'Cost Basis'!C$4:C$11)*Model!K305*(1+LOOKUP(I305,'Cost Basis'!A$4:A$13,'Cost Basis'!F$3:F$13)),LOOKUP(Model!I305,'Cost Basis'!A$4:A$13,'Cost Basis'!C$4:C$13)*ROUNDUP(Model!K305/5280/30,0))*(1+LOOKUP(I305,'Cost Basis'!A$4:A$13,'Cost Basis'!F$4:F$13))))</f>
        <v>N/A</v>
      </c>
      <c r="M305" s="268" t="str">
        <f t="shared" si="15"/>
        <v>N/A</v>
      </c>
      <c r="N305" s="64" t="s">
        <v>823</v>
      </c>
      <c r="O305" s="253"/>
      <c r="P305" s="69"/>
    </row>
    <row r="306" spans="1:16" x14ac:dyDescent="0.3">
      <c r="A306" s="80">
        <v>4.0190000000000063</v>
      </c>
      <c r="B306" s="123" t="s">
        <v>279</v>
      </c>
      <c r="C306" s="59" t="s">
        <v>298</v>
      </c>
      <c r="D306" s="65">
        <v>3</v>
      </c>
      <c r="E306" s="65">
        <v>3</v>
      </c>
      <c r="F306" s="59"/>
      <c r="G306" s="59"/>
      <c r="H306" s="87" t="str">
        <f>IF(B306="Projects","N/A",IF(B306="Served","N/A",('Cost Basis'!E$3+('Cost Basis'!C$3*Model!D306))*(1+'Cost Basis'!F$3)))</f>
        <v>N/A</v>
      </c>
      <c r="I306" s="88" t="s">
        <v>403</v>
      </c>
      <c r="J306" s="88" t="s">
        <v>403</v>
      </c>
      <c r="K306" s="61"/>
      <c r="L306" s="62" t="str">
        <f>IF(K306=0,"N/A",(LOOKUP(I306,'Cost Basis'!A$4:A$13,'Cost Basis'!E$4:E$13)+IF(LOOKUP(Model!I306,'Cost Basis'!A$4:A$11)=I306,LOOKUP(Model!I306,'Cost Basis'!A$4:A$11,'Cost Basis'!C$4:C$11)*Model!K306*(1+LOOKUP(I306,'Cost Basis'!A$4:A$13,'Cost Basis'!F$3:F$13)),LOOKUP(Model!I306,'Cost Basis'!A$4:A$13,'Cost Basis'!C$4:C$13)*ROUNDUP(Model!K306/5280/30,0))*(1+LOOKUP(I306,'Cost Basis'!A$4:A$13,'Cost Basis'!F$4:F$13))))</f>
        <v>N/A</v>
      </c>
      <c r="M306" s="268" t="str">
        <f t="shared" si="15"/>
        <v>N/A</v>
      </c>
      <c r="N306" s="64" t="s">
        <v>824</v>
      </c>
      <c r="O306" s="253"/>
      <c r="P306" s="69"/>
    </row>
    <row r="307" spans="1:16" x14ac:dyDescent="0.3">
      <c r="A307" s="80">
        <v>4.0200000000000067</v>
      </c>
      <c r="B307" s="123" t="s">
        <v>279</v>
      </c>
      <c r="C307" s="59" t="s">
        <v>299</v>
      </c>
      <c r="D307" s="65">
        <v>2827</v>
      </c>
      <c r="E307" s="65">
        <v>2401</v>
      </c>
      <c r="F307" s="59"/>
      <c r="G307" s="59"/>
      <c r="H307" s="87" t="str">
        <f>IF(B307="Projects","N/A",IF(B307="Served","N/A",('Cost Basis'!E$3+('Cost Basis'!C$3*Model!D307))*(1+'Cost Basis'!F$3)))</f>
        <v>N/A</v>
      </c>
      <c r="I307" s="88" t="s">
        <v>403</v>
      </c>
      <c r="J307" s="88" t="s">
        <v>403</v>
      </c>
      <c r="K307" s="61"/>
      <c r="L307" s="62" t="str">
        <f>IF(K307=0,"N/A",(LOOKUP(I307,'Cost Basis'!A$4:A$13,'Cost Basis'!E$4:E$13)+IF(LOOKUP(Model!I307,'Cost Basis'!A$4:A$11)=I307,LOOKUP(Model!I307,'Cost Basis'!A$4:A$11,'Cost Basis'!C$4:C$11)*Model!K307*(1+LOOKUP(I307,'Cost Basis'!A$4:A$13,'Cost Basis'!F$3:F$13)),LOOKUP(Model!I307,'Cost Basis'!A$4:A$13,'Cost Basis'!C$4:C$13)*ROUNDUP(Model!K307/5280/30,0))*(1+LOOKUP(I307,'Cost Basis'!A$4:A$13,'Cost Basis'!F$4:F$13))))</f>
        <v>N/A</v>
      </c>
      <c r="M307" s="268" t="str">
        <f t="shared" si="15"/>
        <v>N/A</v>
      </c>
      <c r="N307" s="64" t="s">
        <v>825</v>
      </c>
      <c r="O307" s="253"/>
      <c r="P307" s="69"/>
    </row>
    <row r="308" spans="1:16" x14ac:dyDescent="0.3">
      <c r="A308" s="80">
        <v>4.021000000000007</v>
      </c>
      <c r="B308" s="123" t="s">
        <v>279</v>
      </c>
      <c r="C308" s="59" t="s">
        <v>300</v>
      </c>
      <c r="D308" s="65">
        <v>109</v>
      </c>
      <c r="E308" s="65">
        <v>28</v>
      </c>
      <c r="F308" s="59"/>
      <c r="G308" s="59"/>
      <c r="H308" s="87" t="str">
        <f>IF(B308="Projects","N/A",IF(B308="Served","N/A",('Cost Basis'!E$3+('Cost Basis'!C$3*Model!D308))*(1+'Cost Basis'!F$3)))</f>
        <v>N/A</v>
      </c>
      <c r="I308" s="88" t="s">
        <v>403</v>
      </c>
      <c r="J308" s="88" t="s">
        <v>403</v>
      </c>
      <c r="K308" s="61"/>
      <c r="L308" s="62" t="str">
        <f>IF(K308=0,"N/A",(LOOKUP(I308,'Cost Basis'!A$4:A$13,'Cost Basis'!E$4:E$13)+IF(LOOKUP(Model!I308,'Cost Basis'!A$4:A$11)=I308,LOOKUP(Model!I308,'Cost Basis'!A$4:A$11,'Cost Basis'!C$4:C$11)*Model!K308*(1+LOOKUP(I308,'Cost Basis'!A$4:A$13,'Cost Basis'!F$3:F$13)),LOOKUP(Model!I308,'Cost Basis'!A$4:A$13,'Cost Basis'!C$4:C$13)*ROUNDUP(Model!K308/5280/30,0))*(1+LOOKUP(I308,'Cost Basis'!A$4:A$13,'Cost Basis'!F$4:F$13))))</f>
        <v>N/A</v>
      </c>
      <c r="M308" s="268" t="str">
        <f t="shared" si="15"/>
        <v>N/A</v>
      </c>
      <c r="N308" s="64" t="s">
        <v>826</v>
      </c>
      <c r="O308" s="253"/>
      <c r="P308" s="69"/>
    </row>
    <row r="309" spans="1:16" x14ac:dyDescent="0.3">
      <c r="A309" s="80">
        <v>4.0220000000000073</v>
      </c>
      <c r="B309" s="123" t="s">
        <v>279</v>
      </c>
      <c r="C309" s="59" t="s">
        <v>301</v>
      </c>
      <c r="D309" s="65" t="s">
        <v>402</v>
      </c>
      <c r="E309" s="65"/>
      <c r="F309" s="59"/>
      <c r="G309" s="59"/>
      <c r="H309" s="87" t="str">
        <f>IF(B309="Projects","N/A",IF(B309="Served","N/A",('Cost Basis'!E$3+('Cost Basis'!C$3*Model!D309))*(1+'Cost Basis'!F$3)))</f>
        <v>N/A</v>
      </c>
      <c r="I309" s="88" t="s">
        <v>403</v>
      </c>
      <c r="J309" s="88" t="s">
        <v>403</v>
      </c>
      <c r="K309" s="61"/>
      <c r="L309" s="62" t="str">
        <f>IF(K309=0,"N/A",(LOOKUP(I309,'Cost Basis'!A$4:A$13,'Cost Basis'!E$4:E$13)+IF(LOOKUP(Model!I309,'Cost Basis'!A$4:A$11)=I309,LOOKUP(Model!I309,'Cost Basis'!A$4:A$11,'Cost Basis'!C$4:C$11)*Model!K309*(1+LOOKUP(I309,'Cost Basis'!A$4:A$13,'Cost Basis'!F$3:F$13)),LOOKUP(Model!I309,'Cost Basis'!A$4:A$13,'Cost Basis'!C$4:C$13)*ROUNDUP(Model!K309/5280/30,0))*(1+LOOKUP(I309,'Cost Basis'!A$4:A$13,'Cost Basis'!F$4:F$13))))</f>
        <v>N/A</v>
      </c>
      <c r="M309" s="268" t="str">
        <f t="shared" si="15"/>
        <v>N/A</v>
      </c>
      <c r="N309" s="64" t="s">
        <v>827</v>
      </c>
      <c r="O309" s="253"/>
      <c r="P309" s="69"/>
    </row>
    <row r="310" spans="1:16" x14ac:dyDescent="0.3">
      <c r="A310" s="80">
        <v>4.0230000000000077</v>
      </c>
      <c r="B310" s="123" t="s">
        <v>279</v>
      </c>
      <c r="C310" s="59" t="s">
        <v>302</v>
      </c>
      <c r="D310" s="65">
        <v>165</v>
      </c>
      <c r="E310" s="65">
        <v>101</v>
      </c>
      <c r="F310" s="59"/>
      <c r="G310" s="59"/>
      <c r="H310" s="87" t="str">
        <f>IF(B310="Projects","N/A",IF(B310="Served","N/A",('Cost Basis'!E$3+('Cost Basis'!C$3*Model!D310))*(1+'Cost Basis'!F$3)))</f>
        <v>N/A</v>
      </c>
      <c r="I310" s="88" t="s">
        <v>403</v>
      </c>
      <c r="J310" s="88" t="s">
        <v>403</v>
      </c>
      <c r="K310" s="61"/>
      <c r="L310" s="62" t="str">
        <f>IF(K310=0,"N/A",(LOOKUP(I310,'Cost Basis'!A$4:A$13,'Cost Basis'!E$4:E$13)+IF(LOOKUP(Model!I310,'Cost Basis'!A$4:A$11)=I310,LOOKUP(Model!I310,'Cost Basis'!A$4:A$11,'Cost Basis'!C$4:C$11)*Model!K310*(1+LOOKUP(I310,'Cost Basis'!A$4:A$13,'Cost Basis'!F$3:F$13)),LOOKUP(Model!I310,'Cost Basis'!A$4:A$13,'Cost Basis'!C$4:C$13)*ROUNDUP(Model!K310/5280/30,0))*(1+LOOKUP(I310,'Cost Basis'!A$4:A$13,'Cost Basis'!F$4:F$13))))</f>
        <v>N/A</v>
      </c>
      <c r="M310" s="268" t="str">
        <f t="shared" si="15"/>
        <v>N/A</v>
      </c>
      <c r="N310" s="64" t="s">
        <v>828</v>
      </c>
      <c r="O310" s="253"/>
      <c r="P310" s="69"/>
    </row>
    <row r="311" spans="1:16" x14ac:dyDescent="0.3">
      <c r="A311" s="80">
        <v>4.024000000000008</v>
      </c>
      <c r="B311" s="123" t="s">
        <v>279</v>
      </c>
      <c r="C311" s="59" t="s">
        <v>303</v>
      </c>
      <c r="D311" s="65">
        <v>3</v>
      </c>
      <c r="E311" s="65">
        <v>3</v>
      </c>
      <c r="F311" s="59" t="s">
        <v>404</v>
      </c>
      <c r="G311" s="59"/>
      <c r="H311" s="87" t="str">
        <f>IF(B311="Projects","N/A",IF(B311="Served","N/A",('Cost Basis'!E$3+('Cost Basis'!C$3*Model!D311))*(1+'Cost Basis'!F$3)))</f>
        <v>N/A</v>
      </c>
      <c r="I311" s="88" t="s">
        <v>403</v>
      </c>
      <c r="J311" s="88" t="s">
        <v>403</v>
      </c>
      <c r="K311" s="61"/>
      <c r="L311" s="62" t="str">
        <f>IF(K311=0,"N/A",(LOOKUP(I311,'Cost Basis'!A$4:A$13,'Cost Basis'!E$4:E$13)+IF(LOOKUP(Model!I311,'Cost Basis'!A$4:A$11)=I311,LOOKUP(Model!I311,'Cost Basis'!A$4:A$11,'Cost Basis'!C$4:C$11)*Model!K311*(1+LOOKUP(I311,'Cost Basis'!A$4:A$13,'Cost Basis'!F$3:F$13)),LOOKUP(Model!I311,'Cost Basis'!A$4:A$13,'Cost Basis'!C$4:C$13)*ROUNDUP(Model!K311/5280/30,0))*(1+LOOKUP(I311,'Cost Basis'!A$4:A$13,'Cost Basis'!F$4:F$13))))</f>
        <v>N/A</v>
      </c>
      <c r="M311" s="268" t="str">
        <f t="shared" si="15"/>
        <v>N/A</v>
      </c>
      <c r="N311" s="64" t="s">
        <v>829</v>
      </c>
      <c r="O311" s="253"/>
      <c r="P311" s="69"/>
    </row>
    <row r="312" spans="1:16" x14ac:dyDescent="0.3">
      <c r="A312" s="80">
        <v>4.0250000000000083</v>
      </c>
      <c r="B312" s="123" t="s">
        <v>279</v>
      </c>
      <c r="C312" s="59" t="s">
        <v>34</v>
      </c>
      <c r="D312" s="65"/>
      <c r="E312" s="65"/>
      <c r="F312" s="59"/>
      <c r="G312" s="59"/>
      <c r="H312" s="87" t="str">
        <f>IF(B312="Projects","N/A",IF(B312="Served","N/A",('Cost Basis'!E$3+('Cost Basis'!C$3*Model!D312))*(1+'Cost Basis'!F$3)))</f>
        <v>N/A</v>
      </c>
      <c r="I312" s="88" t="s">
        <v>403</v>
      </c>
      <c r="J312" s="88" t="s">
        <v>403</v>
      </c>
      <c r="K312" s="61"/>
      <c r="L312" s="62" t="str">
        <f>IF(K312=0,"N/A",(LOOKUP(I312,'Cost Basis'!A$4:A$13,'Cost Basis'!E$4:E$13)+IF(LOOKUP(Model!I312,'Cost Basis'!A$4:A$11)=I312,LOOKUP(Model!I312,'Cost Basis'!A$4:A$11,'Cost Basis'!C$4:C$11)*Model!K312*(1+LOOKUP(I312,'Cost Basis'!A$4:A$13,'Cost Basis'!F$3:F$13)),LOOKUP(Model!I312,'Cost Basis'!A$4:A$13,'Cost Basis'!C$4:C$13)*ROUNDUP(Model!K312/5280/30,0))*(1+LOOKUP(I312,'Cost Basis'!A$4:A$13,'Cost Basis'!F$4:F$13))))</f>
        <v>N/A</v>
      </c>
      <c r="M312" s="268" t="str">
        <f t="shared" si="15"/>
        <v>N/A</v>
      </c>
      <c r="N312" s="64" t="s">
        <v>830</v>
      </c>
      <c r="O312" s="253"/>
      <c r="P312" s="69"/>
    </row>
    <row r="313" spans="1:16" x14ac:dyDescent="0.3">
      <c r="A313" s="80">
        <v>4.0260000000000087</v>
      </c>
      <c r="B313" s="123" t="s">
        <v>279</v>
      </c>
      <c r="C313" s="59" t="s">
        <v>37</v>
      </c>
      <c r="D313" s="65">
        <v>5364</v>
      </c>
      <c r="E313" s="65">
        <v>4738</v>
      </c>
      <c r="F313" s="59"/>
      <c r="G313" s="59"/>
      <c r="H313" s="87" t="str">
        <f>IF(B313="Projects","N/A",IF(B313="Served","N/A",('Cost Basis'!E$3+('Cost Basis'!C$3*Model!D313))*(1+'Cost Basis'!F$3)))</f>
        <v>N/A</v>
      </c>
      <c r="I313" s="88" t="s">
        <v>403</v>
      </c>
      <c r="J313" s="88" t="s">
        <v>403</v>
      </c>
      <c r="K313" s="61"/>
      <c r="L313" s="62" t="str">
        <f>IF(K313=0,"N/A",(LOOKUP(I313,'Cost Basis'!A$4:A$13,'Cost Basis'!E$4:E$13)+IF(LOOKUP(Model!I313,'Cost Basis'!A$4:A$11)=I313,LOOKUP(Model!I313,'Cost Basis'!A$4:A$11,'Cost Basis'!C$4:C$11)*Model!K313*(1+LOOKUP(I313,'Cost Basis'!A$4:A$13,'Cost Basis'!F$3:F$13)),LOOKUP(Model!I313,'Cost Basis'!A$4:A$13,'Cost Basis'!C$4:C$13)*ROUNDUP(Model!K313/5280/30,0))*(1+LOOKUP(I313,'Cost Basis'!A$4:A$13,'Cost Basis'!F$4:F$13))))</f>
        <v>N/A</v>
      </c>
      <c r="M313" s="268" t="str">
        <f t="shared" si="15"/>
        <v>N/A</v>
      </c>
      <c r="N313" s="64" t="s">
        <v>831</v>
      </c>
      <c r="O313" s="253"/>
      <c r="P313" s="69"/>
    </row>
    <row r="314" spans="1:16" x14ac:dyDescent="0.3">
      <c r="A314" s="80">
        <v>4.027000000000009</v>
      </c>
      <c r="B314" s="123" t="s">
        <v>279</v>
      </c>
      <c r="C314" s="59" t="s">
        <v>304</v>
      </c>
      <c r="D314" s="65">
        <v>198</v>
      </c>
      <c r="E314" s="65">
        <v>91</v>
      </c>
      <c r="F314" s="59"/>
      <c r="G314" s="59"/>
      <c r="H314" s="87" t="str">
        <f>IF(B314="Projects","N/A",IF(B314="Served","N/A",('Cost Basis'!E$3+('Cost Basis'!C$3*Model!D314))*(1+'Cost Basis'!F$3)))</f>
        <v>N/A</v>
      </c>
      <c r="I314" s="88" t="s">
        <v>403</v>
      </c>
      <c r="J314" s="88" t="s">
        <v>403</v>
      </c>
      <c r="K314" s="61"/>
      <c r="L314" s="62" t="str">
        <f>IF(K314=0,"N/A",(LOOKUP(I314,'Cost Basis'!A$4:A$13,'Cost Basis'!E$4:E$13)+IF(LOOKUP(Model!I314,'Cost Basis'!A$4:A$11)=I314,LOOKUP(Model!I314,'Cost Basis'!A$4:A$11,'Cost Basis'!C$4:C$11)*Model!K314*(1+LOOKUP(I314,'Cost Basis'!A$4:A$13,'Cost Basis'!F$3:F$13)),LOOKUP(Model!I314,'Cost Basis'!A$4:A$13,'Cost Basis'!C$4:C$13)*ROUNDUP(Model!K314/5280/30,0))*(1+LOOKUP(I314,'Cost Basis'!A$4:A$13,'Cost Basis'!F$4:F$13))))</f>
        <v>N/A</v>
      </c>
      <c r="M314" s="268" t="str">
        <f t="shared" si="15"/>
        <v>N/A</v>
      </c>
      <c r="N314" s="64" t="s">
        <v>832</v>
      </c>
      <c r="O314" s="253"/>
      <c r="P314" s="69"/>
    </row>
    <row r="315" spans="1:16" x14ac:dyDescent="0.3">
      <c r="A315" s="80">
        <v>4.0280000000000094</v>
      </c>
      <c r="B315" s="123" t="s">
        <v>279</v>
      </c>
      <c r="C315" s="59" t="s">
        <v>305</v>
      </c>
      <c r="D315" s="65">
        <v>878</v>
      </c>
      <c r="E315" s="65">
        <v>663</v>
      </c>
      <c r="F315" s="59"/>
      <c r="G315" s="59"/>
      <c r="H315" s="87" t="str">
        <f>IF(B315="Projects","N/A",IF(B315="Served","N/A",('Cost Basis'!E$3+('Cost Basis'!C$3*Model!D315))*(1+'Cost Basis'!F$3)))</f>
        <v>N/A</v>
      </c>
      <c r="I315" s="88" t="s">
        <v>403</v>
      </c>
      <c r="J315" s="88" t="s">
        <v>403</v>
      </c>
      <c r="K315" s="61"/>
      <c r="L315" s="62" t="str">
        <f>IF(K315=0,"N/A",(LOOKUP(I315,'Cost Basis'!A$4:A$13,'Cost Basis'!E$4:E$13)+IF(LOOKUP(Model!I315,'Cost Basis'!A$4:A$11)=I315,LOOKUP(Model!I315,'Cost Basis'!A$4:A$11,'Cost Basis'!C$4:C$11)*Model!K315*(1+LOOKUP(I315,'Cost Basis'!A$4:A$13,'Cost Basis'!F$3:F$13)),LOOKUP(Model!I315,'Cost Basis'!A$4:A$13,'Cost Basis'!C$4:C$13)*ROUNDUP(Model!K315/5280/30,0))*(1+LOOKUP(I315,'Cost Basis'!A$4:A$13,'Cost Basis'!F$4:F$13))))</f>
        <v>N/A</v>
      </c>
      <c r="M315" s="268" t="str">
        <f t="shared" si="15"/>
        <v>N/A</v>
      </c>
      <c r="N315" s="64" t="s">
        <v>833</v>
      </c>
      <c r="O315" s="253"/>
      <c r="P315" s="69"/>
    </row>
    <row r="316" spans="1:16" x14ac:dyDescent="0.3">
      <c r="A316" s="80">
        <v>4.0290000000000097</v>
      </c>
      <c r="B316" s="123" t="s">
        <v>279</v>
      </c>
      <c r="C316" s="59" t="s">
        <v>306</v>
      </c>
      <c r="D316" s="65">
        <v>621</v>
      </c>
      <c r="E316" s="65">
        <v>403</v>
      </c>
      <c r="F316" s="59"/>
      <c r="G316" s="59"/>
      <c r="H316" s="87" t="str">
        <f>IF(B316="Projects","N/A",IF(B316="Served","N/A",('Cost Basis'!E$3+('Cost Basis'!C$3*Model!D316))*(1+'Cost Basis'!F$3)))</f>
        <v>N/A</v>
      </c>
      <c r="I316" s="88" t="s">
        <v>403</v>
      </c>
      <c r="J316" s="88" t="s">
        <v>403</v>
      </c>
      <c r="K316" s="61"/>
      <c r="L316" s="62" t="str">
        <f>IF(K316=0,"N/A",(LOOKUP(I316,'Cost Basis'!A$4:A$13,'Cost Basis'!E$4:E$13)+IF(LOOKUP(Model!I316,'Cost Basis'!A$4:A$11)=I316,LOOKUP(Model!I316,'Cost Basis'!A$4:A$11,'Cost Basis'!C$4:C$11)*Model!K316*(1+LOOKUP(I316,'Cost Basis'!A$4:A$13,'Cost Basis'!F$3:F$13)),LOOKUP(Model!I316,'Cost Basis'!A$4:A$13,'Cost Basis'!C$4:C$13)*ROUNDUP(Model!K316/5280/30,0))*(1+LOOKUP(I316,'Cost Basis'!A$4:A$13,'Cost Basis'!F$4:F$13))))</f>
        <v>N/A</v>
      </c>
      <c r="M316" s="268" t="str">
        <f t="shared" si="15"/>
        <v>N/A</v>
      </c>
      <c r="N316" s="64" t="s">
        <v>834</v>
      </c>
      <c r="O316" s="253"/>
      <c r="P316" s="69"/>
    </row>
    <row r="317" spans="1:16" x14ac:dyDescent="0.3">
      <c r="A317" s="80">
        <v>4.03000000000001</v>
      </c>
      <c r="B317" s="123" t="s">
        <v>279</v>
      </c>
      <c r="C317" s="59" t="s">
        <v>307</v>
      </c>
      <c r="D317" s="65">
        <v>298</v>
      </c>
      <c r="E317" s="65">
        <v>108</v>
      </c>
      <c r="F317" s="59"/>
      <c r="G317" s="59"/>
      <c r="H317" s="87" t="str">
        <f>IF(B317="Projects","N/A",IF(B317="Served","N/A",('Cost Basis'!E$3+('Cost Basis'!C$3*Model!D317))*(1+'Cost Basis'!F$3)))</f>
        <v>N/A</v>
      </c>
      <c r="I317" s="88" t="s">
        <v>403</v>
      </c>
      <c r="J317" s="88" t="s">
        <v>403</v>
      </c>
      <c r="K317" s="61"/>
      <c r="L317" s="62" t="str">
        <f>IF(K317=0,"N/A",(LOOKUP(I317,'Cost Basis'!A$4:A$13,'Cost Basis'!E$4:E$13)+IF(LOOKUP(Model!I317,'Cost Basis'!A$4:A$11)=I317,LOOKUP(Model!I317,'Cost Basis'!A$4:A$11,'Cost Basis'!C$4:C$11)*Model!K317*(1+LOOKUP(I317,'Cost Basis'!A$4:A$13,'Cost Basis'!F$3:F$13)),LOOKUP(Model!I317,'Cost Basis'!A$4:A$13,'Cost Basis'!C$4:C$13)*ROUNDUP(Model!K317/5280/30,0))*(1+LOOKUP(I317,'Cost Basis'!A$4:A$13,'Cost Basis'!F$4:F$13))))</f>
        <v>N/A</v>
      </c>
      <c r="M317" s="268" t="str">
        <f t="shared" si="15"/>
        <v>N/A</v>
      </c>
      <c r="N317" s="64" t="s">
        <v>835</v>
      </c>
      <c r="O317" s="253"/>
      <c r="P317" s="69"/>
    </row>
    <row r="318" spans="1:16" x14ac:dyDescent="0.3">
      <c r="A318" s="80">
        <v>4.0310000000000104</v>
      </c>
      <c r="B318" s="123" t="s">
        <v>279</v>
      </c>
      <c r="C318" s="59" t="s">
        <v>308</v>
      </c>
      <c r="D318" s="65">
        <v>10</v>
      </c>
      <c r="E318" s="65">
        <v>5</v>
      </c>
      <c r="F318" s="59" t="s">
        <v>404</v>
      </c>
      <c r="G318" s="59"/>
      <c r="H318" s="87" t="str">
        <f>IF(B318="Projects","N/A",IF(B318="Served","N/A",('Cost Basis'!E$3+('Cost Basis'!C$3*Model!D318))*(1+'Cost Basis'!F$3)))</f>
        <v>N/A</v>
      </c>
      <c r="I318" s="88" t="s">
        <v>403</v>
      </c>
      <c r="J318" s="88" t="s">
        <v>403</v>
      </c>
      <c r="K318" s="61"/>
      <c r="L318" s="62" t="str">
        <f>IF(K318=0,"N/A",(LOOKUP(I318,'Cost Basis'!A$4:A$13,'Cost Basis'!E$4:E$13)+IF(LOOKUP(Model!I318,'Cost Basis'!A$4:A$11)=I318,LOOKUP(Model!I318,'Cost Basis'!A$4:A$11,'Cost Basis'!C$4:C$11)*Model!K318*(1+LOOKUP(I318,'Cost Basis'!A$4:A$13,'Cost Basis'!F$3:F$13)),LOOKUP(Model!I318,'Cost Basis'!A$4:A$13,'Cost Basis'!C$4:C$13)*ROUNDUP(Model!K318/5280/30,0))*(1+LOOKUP(I318,'Cost Basis'!A$4:A$13,'Cost Basis'!F$4:F$13))))</f>
        <v>N/A</v>
      </c>
      <c r="M318" s="268" t="str">
        <f t="shared" si="15"/>
        <v>N/A</v>
      </c>
      <c r="N318" s="64" t="s">
        <v>836</v>
      </c>
      <c r="O318" s="253"/>
      <c r="P318" s="69"/>
    </row>
    <row r="319" spans="1:16" x14ac:dyDescent="0.3">
      <c r="A319" s="80">
        <v>4.0320000000000107</v>
      </c>
      <c r="B319" s="123" t="s">
        <v>279</v>
      </c>
      <c r="C319" s="59" t="s">
        <v>309</v>
      </c>
      <c r="D319" s="65">
        <v>676</v>
      </c>
      <c r="E319" s="65">
        <v>504</v>
      </c>
      <c r="F319" s="59"/>
      <c r="G319" s="59"/>
      <c r="H319" s="87" t="str">
        <f>IF(B319="Projects","N/A",IF(B319="Served","N/A",('Cost Basis'!E$3+('Cost Basis'!C$3*Model!D319))*(1+'Cost Basis'!F$3)))</f>
        <v>N/A</v>
      </c>
      <c r="I319" s="88" t="s">
        <v>403</v>
      </c>
      <c r="J319" s="88" t="s">
        <v>403</v>
      </c>
      <c r="K319" s="61"/>
      <c r="L319" s="62" t="str">
        <f>IF(K319=0,"N/A",(LOOKUP(I319,'Cost Basis'!A$4:A$13,'Cost Basis'!E$4:E$13)+IF(LOOKUP(Model!I319,'Cost Basis'!A$4:A$11)=I319,LOOKUP(Model!I319,'Cost Basis'!A$4:A$11,'Cost Basis'!C$4:C$11)*Model!K319*(1+LOOKUP(I319,'Cost Basis'!A$4:A$13,'Cost Basis'!F$3:F$13)),LOOKUP(Model!I319,'Cost Basis'!A$4:A$13,'Cost Basis'!C$4:C$13)*ROUNDUP(Model!K319/5280/30,0))*(1+LOOKUP(I319,'Cost Basis'!A$4:A$13,'Cost Basis'!F$4:F$13))))</f>
        <v>N/A</v>
      </c>
      <c r="M319" s="268" t="str">
        <f t="shared" si="15"/>
        <v>N/A</v>
      </c>
      <c r="N319" s="64" t="s">
        <v>837</v>
      </c>
      <c r="O319" s="253"/>
      <c r="P319" s="69"/>
    </row>
    <row r="320" spans="1:16" x14ac:dyDescent="0.3">
      <c r="A320" s="80">
        <v>4.033000000000011</v>
      </c>
      <c r="B320" s="123" t="s">
        <v>279</v>
      </c>
      <c r="C320" s="59" t="s">
        <v>310</v>
      </c>
      <c r="D320" s="65" t="s">
        <v>402</v>
      </c>
      <c r="E320" s="65"/>
      <c r="F320" s="59"/>
      <c r="G320" s="59"/>
      <c r="H320" s="87" t="str">
        <f>IF(B320="Projects","N/A",IF(B320="Served","N/A",('Cost Basis'!E$3+('Cost Basis'!C$3*Model!D320))*(1+'Cost Basis'!F$3)))</f>
        <v>N/A</v>
      </c>
      <c r="I320" s="88" t="s">
        <v>403</v>
      </c>
      <c r="J320" s="88" t="s">
        <v>403</v>
      </c>
      <c r="K320" s="61"/>
      <c r="L320" s="62" t="str">
        <f>IF(K320=0,"N/A",(LOOKUP(I320,'Cost Basis'!A$4:A$13,'Cost Basis'!E$4:E$13)+IF(LOOKUP(Model!I320,'Cost Basis'!A$4:A$11)=I320,LOOKUP(Model!I320,'Cost Basis'!A$4:A$11,'Cost Basis'!C$4:C$11)*Model!K320*(1+LOOKUP(I320,'Cost Basis'!A$4:A$13,'Cost Basis'!F$3:F$13)),LOOKUP(Model!I320,'Cost Basis'!A$4:A$13,'Cost Basis'!C$4:C$13)*ROUNDUP(Model!K320/5280/30,0))*(1+LOOKUP(I320,'Cost Basis'!A$4:A$13,'Cost Basis'!F$4:F$13))))</f>
        <v>N/A</v>
      </c>
      <c r="M320" s="268" t="str">
        <f t="shared" si="15"/>
        <v>N/A</v>
      </c>
      <c r="N320" s="64" t="s">
        <v>838</v>
      </c>
      <c r="O320" s="253"/>
      <c r="P320" s="69"/>
    </row>
    <row r="321" spans="1:16" x14ac:dyDescent="0.3">
      <c r="A321" s="80">
        <v>4.0340000000000114</v>
      </c>
      <c r="B321" s="123" t="s">
        <v>279</v>
      </c>
      <c r="C321" s="59" t="s">
        <v>311</v>
      </c>
      <c r="D321" s="65">
        <v>1132</v>
      </c>
      <c r="E321" s="65">
        <v>814</v>
      </c>
      <c r="F321" s="59"/>
      <c r="G321" s="59"/>
      <c r="H321" s="87" t="str">
        <f>IF(B321="Projects","N/A",IF(B321="Served","N/A",('Cost Basis'!E$3+('Cost Basis'!C$3*Model!D321))*(1+'Cost Basis'!F$3)))</f>
        <v>N/A</v>
      </c>
      <c r="I321" s="88" t="s">
        <v>403</v>
      </c>
      <c r="J321" s="88" t="s">
        <v>403</v>
      </c>
      <c r="K321" s="61"/>
      <c r="L321" s="62" t="str">
        <f>IF(K321=0,"N/A",(LOOKUP(I321,'Cost Basis'!A$4:A$13,'Cost Basis'!E$4:E$13)+IF(LOOKUP(Model!I321,'Cost Basis'!A$4:A$11)=I321,LOOKUP(Model!I321,'Cost Basis'!A$4:A$11,'Cost Basis'!C$4:C$11)*Model!K321*(1+LOOKUP(I321,'Cost Basis'!A$4:A$13,'Cost Basis'!F$3:F$13)),LOOKUP(Model!I321,'Cost Basis'!A$4:A$13,'Cost Basis'!C$4:C$13)*ROUNDUP(Model!K321/5280/30,0))*(1+LOOKUP(I321,'Cost Basis'!A$4:A$13,'Cost Basis'!F$4:F$13))))</f>
        <v>N/A</v>
      </c>
      <c r="M321" s="268" t="str">
        <f t="shared" si="15"/>
        <v>N/A</v>
      </c>
      <c r="N321" s="64" t="s">
        <v>839</v>
      </c>
      <c r="O321" s="253"/>
      <c r="P321" s="69"/>
    </row>
    <row r="322" spans="1:16" x14ac:dyDescent="0.3">
      <c r="A322" s="80">
        <v>4.0350000000000117</v>
      </c>
      <c r="B322" s="123" t="s">
        <v>279</v>
      </c>
      <c r="C322" s="59" t="s">
        <v>312</v>
      </c>
      <c r="D322" s="65">
        <v>98</v>
      </c>
      <c r="E322" s="65">
        <v>0</v>
      </c>
      <c r="F322" s="59"/>
      <c r="G322" s="59"/>
      <c r="H322" s="87" t="str">
        <f>IF(B322="Projects","N/A",IF(B322="Served","N/A",('Cost Basis'!E$3+('Cost Basis'!C$3*Model!D322))*(1+'Cost Basis'!F$3)))</f>
        <v>N/A</v>
      </c>
      <c r="I322" s="88" t="s">
        <v>403</v>
      </c>
      <c r="J322" s="88" t="s">
        <v>403</v>
      </c>
      <c r="K322" s="61"/>
      <c r="L322" s="62" t="str">
        <f>IF(K322=0,"N/A",(LOOKUP(I322,'Cost Basis'!A$4:A$13,'Cost Basis'!E$4:E$13)+IF(LOOKUP(Model!I322,'Cost Basis'!A$4:A$11)=I322,LOOKUP(Model!I322,'Cost Basis'!A$4:A$11,'Cost Basis'!C$4:C$11)*Model!K322*(1+LOOKUP(I322,'Cost Basis'!A$4:A$13,'Cost Basis'!F$3:F$13)),LOOKUP(Model!I322,'Cost Basis'!A$4:A$13,'Cost Basis'!C$4:C$13)*ROUNDUP(Model!K322/5280/30,0))*(1+LOOKUP(I322,'Cost Basis'!A$4:A$13,'Cost Basis'!F$4:F$13))))</f>
        <v>N/A</v>
      </c>
      <c r="M322" s="268" t="str">
        <f t="shared" ref="M322:M385" si="16">IF(L322="N/A",H322,H322+L322)</f>
        <v>N/A</v>
      </c>
      <c r="N322" s="64" t="s">
        <v>840</v>
      </c>
      <c r="O322" s="253"/>
      <c r="P322" s="69"/>
    </row>
    <row r="323" spans="1:16" x14ac:dyDescent="0.3">
      <c r="A323" s="80">
        <v>4.036000000000012</v>
      </c>
      <c r="B323" s="123" t="s">
        <v>279</v>
      </c>
      <c r="C323" s="59" t="s">
        <v>313</v>
      </c>
      <c r="D323" s="65">
        <v>13233</v>
      </c>
      <c r="E323" s="65">
        <v>11175</v>
      </c>
      <c r="F323" s="59"/>
      <c r="G323" s="59"/>
      <c r="H323" s="87" t="str">
        <f>IF(B323="Projects","N/A",IF(B323="Served","N/A",('Cost Basis'!E$3+('Cost Basis'!C$3*Model!D323))*(1+'Cost Basis'!F$3)))</f>
        <v>N/A</v>
      </c>
      <c r="I323" s="88" t="s">
        <v>403</v>
      </c>
      <c r="J323" s="88" t="s">
        <v>403</v>
      </c>
      <c r="K323" s="61"/>
      <c r="L323" s="62" t="str">
        <f>IF(K323=0,"N/A",(LOOKUP(I323,'Cost Basis'!A$4:A$13,'Cost Basis'!E$4:E$13)+IF(LOOKUP(Model!I323,'Cost Basis'!A$4:A$11)=I323,LOOKUP(Model!I323,'Cost Basis'!A$4:A$11,'Cost Basis'!C$4:C$11)*Model!K323*(1+LOOKUP(I323,'Cost Basis'!A$4:A$13,'Cost Basis'!F$3:F$13)),LOOKUP(Model!I323,'Cost Basis'!A$4:A$13,'Cost Basis'!C$4:C$13)*ROUNDUP(Model!K323/5280/30,0))*(1+LOOKUP(I323,'Cost Basis'!A$4:A$13,'Cost Basis'!F$4:F$13))))</f>
        <v>N/A</v>
      </c>
      <c r="M323" s="268" t="str">
        <f t="shared" si="16"/>
        <v>N/A</v>
      </c>
      <c r="N323" s="64" t="s">
        <v>841</v>
      </c>
      <c r="O323" s="253"/>
      <c r="P323" s="69"/>
    </row>
    <row r="324" spans="1:16" x14ac:dyDescent="0.3">
      <c r="A324" s="80">
        <v>4.0370000000000124</v>
      </c>
      <c r="B324" s="123" t="s">
        <v>279</v>
      </c>
      <c r="C324" s="59" t="s">
        <v>314</v>
      </c>
      <c r="D324" s="65">
        <v>763</v>
      </c>
      <c r="E324" s="65">
        <v>728</v>
      </c>
      <c r="F324" s="59"/>
      <c r="G324" s="59"/>
      <c r="H324" s="87" t="str">
        <f>IF(B324="Projects","N/A",IF(B324="Served","N/A",('Cost Basis'!E$3+('Cost Basis'!C$3*Model!D324))*(1+'Cost Basis'!F$3)))</f>
        <v>N/A</v>
      </c>
      <c r="I324" s="88" t="s">
        <v>403</v>
      </c>
      <c r="J324" s="88" t="s">
        <v>403</v>
      </c>
      <c r="K324" s="61"/>
      <c r="L324" s="62" t="str">
        <f>IF(K324=0,"N/A",(LOOKUP(I324,'Cost Basis'!A$4:A$13,'Cost Basis'!E$4:E$13)+IF(LOOKUP(Model!I324,'Cost Basis'!A$4:A$11)=I324,LOOKUP(Model!I324,'Cost Basis'!A$4:A$11,'Cost Basis'!C$4:C$11)*Model!K324*(1+LOOKUP(I324,'Cost Basis'!A$4:A$13,'Cost Basis'!F$3:F$13)),LOOKUP(Model!I324,'Cost Basis'!A$4:A$13,'Cost Basis'!C$4:C$13)*ROUNDUP(Model!K324/5280/30,0))*(1+LOOKUP(I324,'Cost Basis'!A$4:A$13,'Cost Basis'!F$4:F$13))))</f>
        <v>N/A</v>
      </c>
      <c r="M324" s="268" t="str">
        <f t="shared" si="16"/>
        <v>N/A</v>
      </c>
      <c r="N324" s="64" t="s">
        <v>842</v>
      </c>
      <c r="O324" s="253"/>
      <c r="P324" s="69"/>
    </row>
    <row r="325" spans="1:16" x14ac:dyDescent="0.3">
      <c r="A325" s="80">
        <v>4.0380000000000127</v>
      </c>
      <c r="B325" s="123" t="s">
        <v>279</v>
      </c>
      <c r="C325" s="59" t="s">
        <v>315</v>
      </c>
      <c r="D325" s="65">
        <v>2433</v>
      </c>
      <c r="E325" s="65">
        <v>2186</v>
      </c>
      <c r="F325" s="59"/>
      <c r="G325" s="59"/>
      <c r="H325" s="87" t="str">
        <f>IF(B325="Projects","N/A",IF(B325="Served","N/A",('Cost Basis'!E$3+('Cost Basis'!C$3*Model!D325))*(1+'Cost Basis'!F$3)))</f>
        <v>N/A</v>
      </c>
      <c r="I325" s="88" t="s">
        <v>403</v>
      </c>
      <c r="J325" s="88" t="s">
        <v>403</v>
      </c>
      <c r="K325" s="61"/>
      <c r="L325" s="62" t="str">
        <f>IF(K325=0,"N/A",(LOOKUP(I325,'Cost Basis'!A$4:A$13,'Cost Basis'!E$4:E$13)+IF(LOOKUP(Model!I325,'Cost Basis'!A$4:A$11)=I325,LOOKUP(Model!I325,'Cost Basis'!A$4:A$11,'Cost Basis'!C$4:C$11)*Model!K325*(1+LOOKUP(I325,'Cost Basis'!A$4:A$13,'Cost Basis'!F$3:F$13)),LOOKUP(Model!I325,'Cost Basis'!A$4:A$13,'Cost Basis'!C$4:C$13)*ROUNDUP(Model!K325/5280/30,0))*(1+LOOKUP(I325,'Cost Basis'!A$4:A$13,'Cost Basis'!F$4:F$13))))</f>
        <v>N/A</v>
      </c>
      <c r="M325" s="268" t="str">
        <f t="shared" si="16"/>
        <v>N/A</v>
      </c>
      <c r="N325" s="64" t="s">
        <v>843</v>
      </c>
      <c r="O325" s="253"/>
      <c r="P325" s="69"/>
    </row>
    <row r="326" spans="1:16" x14ac:dyDescent="0.3">
      <c r="A326" s="80">
        <v>4.039000000000013</v>
      </c>
      <c r="B326" s="123" t="s">
        <v>279</v>
      </c>
      <c r="C326" s="59" t="s">
        <v>316</v>
      </c>
      <c r="D326" s="65">
        <v>33</v>
      </c>
      <c r="E326" s="65">
        <v>11</v>
      </c>
      <c r="F326" s="59"/>
      <c r="G326" s="59"/>
      <c r="H326" s="87" t="str">
        <f>IF(B326="Projects","N/A",IF(B326="Served","N/A",('Cost Basis'!E$3+('Cost Basis'!C$3*Model!D326))*(1+'Cost Basis'!F$3)))</f>
        <v>N/A</v>
      </c>
      <c r="I326" s="88" t="s">
        <v>403</v>
      </c>
      <c r="J326" s="88" t="s">
        <v>403</v>
      </c>
      <c r="K326" s="61"/>
      <c r="L326" s="62" t="str">
        <f>IF(K326=0,"N/A",(LOOKUP(I326,'Cost Basis'!A$4:A$13,'Cost Basis'!E$4:E$13)+IF(LOOKUP(Model!I326,'Cost Basis'!A$4:A$11)=I326,LOOKUP(Model!I326,'Cost Basis'!A$4:A$11,'Cost Basis'!C$4:C$11)*Model!K326*(1+LOOKUP(I326,'Cost Basis'!A$4:A$13,'Cost Basis'!F$3:F$13)),LOOKUP(Model!I326,'Cost Basis'!A$4:A$13,'Cost Basis'!C$4:C$13)*ROUNDUP(Model!K326/5280/30,0))*(1+LOOKUP(I326,'Cost Basis'!A$4:A$13,'Cost Basis'!F$4:F$13))))</f>
        <v>N/A</v>
      </c>
      <c r="M326" s="268" t="str">
        <f t="shared" si="16"/>
        <v>N/A</v>
      </c>
      <c r="N326" s="64" t="s">
        <v>844</v>
      </c>
      <c r="O326" s="253"/>
      <c r="P326" s="69"/>
    </row>
    <row r="327" spans="1:16" x14ac:dyDescent="0.3">
      <c r="A327" s="80">
        <v>4.0400000000000134</v>
      </c>
      <c r="B327" s="123" t="s">
        <v>279</v>
      </c>
      <c r="C327" s="59" t="s">
        <v>317</v>
      </c>
      <c r="D327" s="65">
        <v>1528</v>
      </c>
      <c r="E327" s="65">
        <v>1403</v>
      </c>
      <c r="F327" s="59"/>
      <c r="G327" s="59"/>
      <c r="H327" s="87" t="str">
        <f>IF(B327="Projects","N/A",IF(B327="Served","N/A",('Cost Basis'!E$3+('Cost Basis'!C$3*Model!D327))*(1+'Cost Basis'!F$3)))</f>
        <v>N/A</v>
      </c>
      <c r="I327" s="88" t="s">
        <v>403</v>
      </c>
      <c r="J327" s="88" t="s">
        <v>403</v>
      </c>
      <c r="K327" s="61"/>
      <c r="L327" s="62" t="str">
        <f>IF(K327=0,"N/A",(LOOKUP(I327,'Cost Basis'!A$4:A$13,'Cost Basis'!E$4:E$13)+IF(LOOKUP(Model!I327,'Cost Basis'!A$4:A$11)=I327,LOOKUP(Model!I327,'Cost Basis'!A$4:A$11,'Cost Basis'!C$4:C$11)*Model!K327*(1+LOOKUP(I327,'Cost Basis'!A$4:A$13,'Cost Basis'!F$3:F$13)),LOOKUP(Model!I327,'Cost Basis'!A$4:A$13,'Cost Basis'!C$4:C$13)*ROUNDUP(Model!K327/5280/30,0))*(1+LOOKUP(I327,'Cost Basis'!A$4:A$13,'Cost Basis'!F$4:F$13))))</f>
        <v>N/A</v>
      </c>
      <c r="M327" s="268" t="str">
        <f t="shared" si="16"/>
        <v>N/A</v>
      </c>
      <c r="N327" s="64" t="s">
        <v>845</v>
      </c>
      <c r="O327" s="253"/>
      <c r="P327" s="69"/>
    </row>
    <row r="328" spans="1:16" x14ac:dyDescent="0.3">
      <c r="A328" s="80">
        <v>4.0410000000000137</v>
      </c>
      <c r="B328" s="123" t="s">
        <v>279</v>
      </c>
      <c r="C328" s="59" t="s">
        <v>318</v>
      </c>
      <c r="D328" s="65">
        <v>136</v>
      </c>
      <c r="E328" s="65">
        <v>64</v>
      </c>
      <c r="F328" s="59"/>
      <c r="G328" s="59"/>
      <c r="H328" s="87" t="str">
        <f>IF(B328="Projects","N/A",IF(B328="Served","N/A",('Cost Basis'!E$3+('Cost Basis'!C$3*Model!D328))*(1+'Cost Basis'!F$3)))</f>
        <v>N/A</v>
      </c>
      <c r="I328" s="88" t="s">
        <v>403</v>
      </c>
      <c r="J328" s="88" t="s">
        <v>403</v>
      </c>
      <c r="K328" s="61"/>
      <c r="L328" s="62" t="str">
        <f>IF(K328=0,"N/A",(LOOKUP(I328,'Cost Basis'!A$4:A$13,'Cost Basis'!E$4:E$13)+IF(LOOKUP(Model!I328,'Cost Basis'!A$4:A$11)=I328,LOOKUP(Model!I328,'Cost Basis'!A$4:A$11,'Cost Basis'!C$4:C$11)*Model!K328*(1+LOOKUP(I328,'Cost Basis'!A$4:A$13,'Cost Basis'!F$3:F$13)),LOOKUP(Model!I328,'Cost Basis'!A$4:A$13,'Cost Basis'!C$4:C$13)*ROUNDUP(Model!K328/5280/30,0))*(1+LOOKUP(I328,'Cost Basis'!A$4:A$13,'Cost Basis'!F$4:F$13))))</f>
        <v>N/A</v>
      </c>
      <c r="M328" s="268" t="str">
        <f t="shared" si="16"/>
        <v>N/A</v>
      </c>
      <c r="N328" s="64" t="s">
        <v>846</v>
      </c>
      <c r="O328" s="253"/>
      <c r="P328" s="69"/>
    </row>
    <row r="329" spans="1:16" x14ac:dyDescent="0.3">
      <c r="A329" s="80">
        <v>4.042000000000014</v>
      </c>
      <c r="B329" s="123" t="s">
        <v>279</v>
      </c>
      <c r="C329" s="59" t="s">
        <v>319</v>
      </c>
      <c r="D329" s="65">
        <v>154</v>
      </c>
      <c r="E329" s="65">
        <v>79</v>
      </c>
      <c r="F329" s="59"/>
      <c r="G329" s="59"/>
      <c r="H329" s="87" t="str">
        <f>IF(B329="Projects","N/A",IF(B329="Served","N/A",('Cost Basis'!E$3+('Cost Basis'!C$3*Model!D329))*(1+'Cost Basis'!F$3)))</f>
        <v>N/A</v>
      </c>
      <c r="I329" s="88" t="s">
        <v>403</v>
      </c>
      <c r="J329" s="88" t="s">
        <v>403</v>
      </c>
      <c r="K329" s="61"/>
      <c r="L329" s="62" t="str">
        <f>IF(K329=0,"N/A",(LOOKUP(I329,'Cost Basis'!A$4:A$13,'Cost Basis'!E$4:E$13)+IF(LOOKUP(Model!I329,'Cost Basis'!A$4:A$11)=I329,LOOKUP(Model!I329,'Cost Basis'!A$4:A$11,'Cost Basis'!C$4:C$11)*Model!K329*(1+LOOKUP(I329,'Cost Basis'!A$4:A$13,'Cost Basis'!F$3:F$13)),LOOKUP(Model!I329,'Cost Basis'!A$4:A$13,'Cost Basis'!C$4:C$13)*ROUNDUP(Model!K329/5280/30,0))*(1+LOOKUP(I329,'Cost Basis'!A$4:A$13,'Cost Basis'!F$4:F$13))))</f>
        <v>N/A</v>
      </c>
      <c r="M329" s="268" t="str">
        <f t="shared" si="16"/>
        <v>N/A</v>
      </c>
      <c r="N329" s="64" t="s">
        <v>847</v>
      </c>
      <c r="O329" s="253"/>
      <c r="P329" s="69"/>
    </row>
    <row r="330" spans="1:16" x14ac:dyDescent="0.3">
      <c r="A330" s="80">
        <v>4.0430000000000144</v>
      </c>
      <c r="B330" s="123" t="s">
        <v>279</v>
      </c>
      <c r="C330" s="59" t="s">
        <v>320</v>
      </c>
      <c r="D330" s="65">
        <v>1601</v>
      </c>
      <c r="E330" s="65">
        <v>1544</v>
      </c>
      <c r="F330" s="59"/>
      <c r="G330" s="59"/>
      <c r="H330" s="87" t="str">
        <f>IF(B330="Projects","N/A",IF(B330="Served","N/A",('Cost Basis'!E$3+('Cost Basis'!C$3*Model!D330))*(1+'Cost Basis'!F$3)))</f>
        <v>N/A</v>
      </c>
      <c r="I330" s="88" t="s">
        <v>403</v>
      </c>
      <c r="J330" s="88" t="s">
        <v>403</v>
      </c>
      <c r="K330" s="61"/>
      <c r="L330" s="62" t="str">
        <f>IF(K330=0,"N/A",(LOOKUP(I330,'Cost Basis'!A$4:A$13,'Cost Basis'!E$4:E$13)+IF(LOOKUP(Model!I330,'Cost Basis'!A$4:A$11)=I330,LOOKUP(Model!I330,'Cost Basis'!A$4:A$11,'Cost Basis'!C$4:C$11)*Model!K330*(1+LOOKUP(I330,'Cost Basis'!A$4:A$13,'Cost Basis'!F$3:F$13)),LOOKUP(Model!I330,'Cost Basis'!A$4:A$13,'Cost Basis'!C$4:C$13)*ROUNDUP(Model!K330/5280/30,0))*(1+LOOKUP(I330,'Cost Basis'!A$4:A$13,'Cost Basis'!F$4:F$13))))</f>
        <v>N/A</v>
      </c>
      <c r="M330" s="268" t="str">
        <f t="shared" si="16"/>
        <v>N/A</v>
      </c>
      <c r="N330" s="64" t="s">
        <v>848</v>
      </c>
      <c r="O330" s="253"/>
      <c r="P330" s="69"/>
    </row>
    <row r="331" spans="1:16" x14ac:dyDescent="0.3">
      <c r="A331" s="80">
        <v>4.0440000000000147</v>
      </c>
      <c r="B331" s="123" t="s">
        <v>279</v>
      </c>
      <c r="C331" s="59" t="s">
        <v>321</v>
      </c>
      <c r="D331" s="65" t="s">
        <v>402</v>
      </c>
      <c r="E331" s="65"/>
      <c r="F331" s="59"/>
      <c r="G331" s="59"/>
      <c r="H331" s="87" t="str">
        <f>IF(B331="Projects","N/A",IF(B331="Served","N/A",('Cost Basis'!E$3+('Cost Basis'!C$3*Model!D331))*(1+'Cost Basis'!F$3)))</f>
        <v>N/A</v>
      </c>
      <c r="I331" s="88" t="s">
        <v>403</v>
      </c>
      <c r="J331" s="88" t="s">
        <v>403</v>
      </c>
      <c r="K331" s="61"/>
      <c r="L331" s="62" t="str">
        <f>IF(K331=0,"N/A",(LOOKUP(I331,'Cost Basis'!A$4:A$13,'Cost Basis'!E$4:E$13)+IF(LOOKUP(Model!I331,'Cost Basis'!A$4:A$11)=I331,LOOKUP(Model!I331,'Cost Basis'!A$4:A$11,'Cost Basis'!C$4:C$11)*Model!K331*(1+LOOKUP(I331,'Cost Basis'!A$4:A$13,'Cost Basis'!F$3:F$13)),LOOKUP(Model!I331,'Cost Basis'!A$4:A$13,'Cost Basis'!C$4:C$13)*ROUNDUP(Model!K331/5280/30,0))*(1+LOOKUP(I331,'Cost Basis'!A$4:A$13,'Cost Basis'!F$4:F$13))))</f>
        <v>N/A</v>
      </c>
      <c r="M331" s="268" t="str">
        <f t="shared" si="16"/>
        <v>N/A</v>
      </c>
      <c r="N331" s="64" t="s">
        <v>849</v>
      </c>
      <c r="O331" s="253"/>
      <c r="P331" s="69"/>
    </row>
    <row r="332" spans="1:16" x14ac:dyDescent="0.3">
      <c r="A332" s="80">
        <v>4.045000000000015</v>
      </c>
      <c r="B332" s="123" t="s">
        <v>279</v>
      </c>
      <c r="C332" s="59" t="s">
        <v>322</v>
      </c>
      <c r="D332" s="65">
        <v>205</v>
      </c>
      <c r="E332" s="65">
        <v>103</v>
      </c>
      <c r="F332" s="59"/>
      <c r="G332" s="59"/>
      <c r="H332" s="87" t="str">
        <f>IF(B332="Projects","N/A",IF(B332="Served","N/A",('Cost Basis'!E$3+('Cost Basis'!C$3*Model!D332))*(1+'Cost Basis'!F$3)))</f>
        <v>N/A</v>
      </c>
      <c r="I332" s="88" t="s">
        <v>403</v>
      </c>
      <c r="J332" s="88" t="s">
        <v>403</v>
      </c>
      <c r="K332" s="61"/>
      <c r="L332" s="62" t="str">
        <f>IF(K332=0,"N/A",(LOOKUP(I332,'Cost Basis'!A$4:A$13,'Cost Basis'!E$4:E$13)+IF(LOOKUP(Model!I332,'Cost Basis'!A$4:A$11)=I332,LOOKUP(Model!I332,'Cost Basis'!A$4:A$11,'Cost Basis'!C$4:C$11)*Model!K332*(1+LOOKUP(I332,'Cost Basis'!A$4:A$13,'Cost Basis'!F$3:F$13)),LOOKUP(Model!I332,'Cost Basis'!A$4:A$13,'Cost Basis'!C$4:C$13)*ROUNDUP(Model!K332/5280/30,0))*(1+LOOKUP(I332,'Cost Basis'!A$4:A$13,'Cost Basis'!F$4:F$13))))</f>
        <v>N/A</v>
      </c>
      <c r="M332" s="268" t="str">
        <f t="shared" si="16"/>
        <v>N/A</v>
      </c>
      <c r="N332" s="64" t="s">
        <v>850</v>
      </c>
      <c r="O332" s="253"/>
      <c r="P332" s="69"/>
    </row>
    <row r="333" spans="1:16" x14ac:dyDescent="0.3">
      <c r="A333" s="80">
        <v>4.0460000000000154</v>
      </c>
      <c r="B333" s="123" t="s">
        <v>279</v>
      </c>
      <c r="C333" s="59" t="s">
        <v>323</v>
      </c>
      <c r="D333" s="65">
        <v>355</v>
      </c>
      <c r="E333" s="65">
        <v>162</v>
      </c>
      <c r="F333" s="59"/>
      <c r="G333" s="59"/>
      <c r="H333" s="87" t="str">
        <f>IF(B333="Projects","N/A",IF(B333="Served","N/A",('Cost Basis'!E$3+('Cost Basis'!C$3*Model!D333))*(1+'Cost Basis'!F$3)))</f>
        <v>N/A</v>
      </c>
      <c r="I333" s="88" t="s">
        <v>403</v>
      </c>
      <c r="J333" s="88" t="s">
        <v>403</v>
      </c>
      <c r="K333" s="61"/>
      <c r="L333" s="62" t="str">
        <f>IF(K333=0,"N/A",(LOOKUP(I333,'Cost Basis'!A$4:A$13,'Cost Basis'!E$4:E$13)+IF(LOOKUP(Model!I333,'Cost Basis'!A$4:A$11)=I333,LOOKUP(Model!I333,'Cost Basis'!A$4:A$11,'Cost Basis'!C$4:C$11)*Model!K333*(1+LOOKUP(I333,'Cost Basis'!A$4:A$13,'Cost Basis'!F$3:F$13)),LOOKUP(Model!I333,'Cost Basis'!A$4:A$13,'Cost Basis'!C$4:C$13)*ROUNDUP(Model!K333/5280/30,0))*(1+LOOKUP(I333,'Cost Basis'!A$4:A$13,'Cost Basis'!F$4:F$13))))</f>
        <v>N/A</v>
      </c>
      <c r="M333" s="268" t="str">
        <f t="shared" si="16"/>
        <v>N/A</v>
      </c>
      <c r="N333" s="64" t="s">
        <v>851</v>
      </c>
      <c r="O333" s="253"/>
      <c r="P333" s="69"/>
    </row>
    <row r="334" spans="1:16" x14ac:dyDescent="0.3">
      <c r="A334" s="80">
        <v>4.0470000000000157</v>
      </c>
      <c r="B334" s="123" t="s">
        <v>279</v>
      </c>
      <c r="C334" s="59" t="s">
        <v>324</v>
      </c>
      <c r="D334" s="65">
        <v>2145</v>
      </c>
      <c r="E334" s="65">
        <v>1567</v>
      </c>
      <c r="F334" s="59"/>
      <c r="G334" s="59"/>
      <c r="H334" s="87" t="str">
        <f>IF(B334="Projects","N/A",IF(B334="Served","N/A",('Cost Basis'!E$3+('Cost Basis'!C$3*Model!D334))*(1+'Cost Basis'!F$3)))</f>
        <v>N/A</v>
      </c>
      <c r="I334" s="88" t="s">
        <v>403</v>
      </c>
      <c r="J334" s="88" t="s">
        <v>403</v>
      </c>
      <c r="K334" s="61"/>
      <c r="L334" s="62" t="str">
        <f>IF(K334=0,"N/A",(LOOKUP(I334,'Cost Basis'!A$4:A$13,'Cost Basis'!E$4:E$13)+IF(LOOKUP(Model!I334,'Cost Basis'!A$4:A$11)=I334,LOOKUP(Model!I334,'Cost Basis'!A$4:A$11,'Cost Basis'!C$4:C$11)*Model!K334*(1+LOOKUP(I334,'Cost Basis'!A$4:A$13,'Cost Basis'!F$3:F$13)),LOOKUP(Model!I334,'Cost Basis'!A$4:A$13,'Cost Basis'!C$4:C$13)*ROUNDUP(Model!K334/5280/30,0))*(1+LOOKUP(I334,'Cost Basis'!A$4:A$13,'Cost Basis'!F$4:F$13))))</f>
        <v>N/A</v>
      </c>
      <c r="M334" s="268" t="str">
        <f t="shared" si="16"/>
        <v>N/A</v>
      </c>
      <c r="N334" s="64" t="s">
        <v>852</v>
      </c>
      <c r="O334" s="253"/>
      <c r="P334" s="69"/>
    </row>
    <row r="335" spans="1:16" x14ac:dyDescent="0.3">
      <c r="A335" s="80">
        <v>4.048000000000016</v>
      </c>
      <c r="B335" s="123" t="s">
        <v>279</v>
      </c>
      <c r="C335" s="59" t="s">
        <v>325</v>
      </c>
      <c r="D335" s="65">
        <v>66</v>
      </c>
      <c r="E335" s="65">
        <v>28</v>
      </c>
      <c r="F335" s="59"/>
      <c r="G335" s="59"/>
      <c r="H335" s="87" t="str">
        <f>IF(B335="Projects","N/A",IF(B335="Served","N/A",('Cost Basis'!E$3+('Cost Basis'!C$3*Model!D335))*(1+'Cost Basis'!F$3)))</f>
        <v>N/A</v>
      </c>
      <c r="I335" s="88" t="s">
        <v>403</v>
      </c>
      <c r="J335" s="88" t="s">
        <v>403</v>
      </c>
      <c r="K335" s="61"/>
      <c r="L335" s="62" t="str">
        <f>IF(K335=0,"N/A",(LOOKUP(I335,'Cost Basis'!A$4:A$13,'Cost Basis'!E$4:E$13)+IF(LOOKUP(Model!I335,'Cost Basis'!A$4:A$11)=I335,LOOKUP(Model!I335,'Cost Basis'!A$4:A$11,'Cost Basis'!C$4:C$11)*Model!K335*(1+LOOKUP(I335,'Cost Basis'!A$4:A$13,'Cost Basis'!F$3:F$13)),LOOKUP(Model!I335,'Cost Basis'!A$4:A$13,'Cost Basis'!C$4:C$13)*ROUNDUP(Model!K335/5280/30,0))*(1+LOOKUP(I335,'Cost Basis'!A$4:A$13,'Cost Basis'!F$4:F$13))))</f>
        <v>N/A</v>
      </c>
      <c r="M335" s="268" t="str">
        <f t="shared" si="16"/>
        <v>N/A</v>
      </c>
      <c r="N335" s="64" t="s">
        <v>853</v>
      </c>
      <c r="O335" s="253"/>
      <c r="P335" s="69"/>
    </row>
    <row r="336" spans="1:16" x14ac:dyDescent="0.3">
      <c r="A336" s="80">
        <v>4.0490000000000164</v>
      </c>
      <c r="B336" s="123" t="s">
        <v>279</v>
      </c>
      <c r="C336" s="59" t="s">
        <v>326</v>
      </c>
      <c r="D336" s="65">
        <v>882</v>
      </c>
      <c r="E336" s="65">
        <v>625</v>
      </c>
      <c r="F336" s="59"/>
      <c r="G336" s="59"/>
      <c r="H336" s="87" t="str">
        <f>IF(B336="Projects","N/A",IF(B336="Served","N/A",('Cost Basis'!E$3+('Cost Basis'!C$3*Model!D336))*(1+'Cost Basis'!F$3)))</f>
        <v>N/A</v>
      </c>
      <c r="I336" s="88" t="s">
        <v>403</v>
      </c>
      <c r="J336" s="88" t="s">
        <v>403</v>
      </c>
      <c r="K336" s="61"/>
      <c r="L336" s="62" t="str">
        <f>IF(K336=0,"N/A",(LOOKUP(I336,'Cost Basis'!A$4:A$13,'Cost Basis'!E$4:E$13)+IF(LOOKUP(Model!I336,'Cost Basis'!A$4:A$11)=I336,LOOKUP(Model!I336,'Cost Basis'!A$4:A$11,'Cost Basis'!C$4:C$11)*Model!K336*(1+LOOKUP(I336,'Cost Basis'!A$4:A$13,'Cost Basis'!F$3:F$13)),LOOKUP(Model!I336,'Cost Basis'!A$4:A$13,'Cost Basis'!C$4:C$13)*ROUNDUP(Model!K336/5280/30,0))*(1+LOOKUP(I336,'Cost Basis'!A$4:A$13,'Cost Basis'!F$4:F$13))))</f>
        <v>N/A</v>
      </c>
      <c r="M336" s="268" t="str">
        <f t="shared" si="16"/>
        <v>N/A</v>
      </c>
      <c r="N336" s="64" t="s">
        <v>854</v>
      </c>
      <c r="O336" s="253"/>
      <c r="P336" s="69"/>
    </row>
    <row r="337" spans="1:16" x14ac:dyDescent="0.3">
      <c r="A337" s="80">
        <v>4.0500000000000167</v>
      </c>
      <c r="B337" s="123" t="s">
        <v>279</v>
      </c>
      <c r="C337" s="59" t="s">
        <v>327</v>
      </c>
      <c r="D337" s="65">
        <v>573</v>
      </c>
      <c r="E337" s="65">
        <v>302</v>
      </c>
      <c r="F337" s="59"/>
      <c r="G337" s="59"/>
      <c r="H337" s="87" t="str">
        <f>IF(B337="Projects","N/A",IF(B337="Served","N/A",('Cost Basis'!E$3+('Cost Basis'!C$3*Model!D337))*(1+'Cost Basis'!F$3)))</f>
        <v>N/A</v>
      </c>
      <c r="I337" s="88" t="s">
        <v>403</v>
      </c>
      <c r="J337" s="88" t="s">
        <v>403</v>
      </c>
      <c r="K337" s="61"/>
      <c r="L337" s="62" t="str">
        <f>IF(K337=0,"N/A",(LOOKUP(I337,'Cost Basis'!A$4:A$13,'Cost Basis'!E$4:E$13)+IF(LOOKUP(Model!I337,'Cost Basis'!A$4:A$11)=I337,LOOKUP(Model!I337,'Cost Basis'!A$4:A$11,'Cost Basis'!C$4:C$11)*Model!K337*(1+LOOKUP(I337,'Cost Basis'!A$4:A$13,'Cost Basis'!F$3:F$13)),LOOKUP(Model!I337,'Cost Basis'!A$4:A$13,'Cost Basis'!C$4:C$13)*ROUNDUP(Model!K337/5280/30,0))*(1+LOOKUP(I337,'Cost Basis'!A$4:A$13,'Cost Basis'!F$4:F$13))))</f>
        <v>N/A</v>
      </c>
      <c r="M337" s="268" t="str">
        <f t="shared" si="16"/>
        <v>N/A</v>
      </c>
      <c r="N337" s="64" t="s">
        <v>855</v>
      </c>
      <c r="O337" s="253"/>
      <c r="P337" s="69"/>
    </row>
    <row r="338" spans="1:16" x14ac:dyDescent="0.3">
      <c r="A338" s="80">
        <v>4.051000000000017</v>
      </c>
      <c r="B338" s="123" t="s">
        <v>279</v>
      </c>
      <c r="C338" s="59" t="s">
        <v>328</v>
      </c>
      <c r="D338" s="65">
        <v>705</v>
      </c>
      <c r="E338" s="65">
        <v>124</v>
      </c>
      <c r="F338" s="59"/>
      <c r="G338" s="59"/>
      <c r="H338" s="87" t="str">
        <f>IF(B338="Projects","N/A",IF(B338="Served","N/A",('Cost Basis'!E$3+('Cost Basis'!C$3*Model!D338))*(1+'Cost Basis'!F$3)))</f>
        <v>N/A</v>
      </c>
      <c r="I338" s="88" t="s">
        <v>403</v>
      </c>
      <c r="J338" s="88" t="s">
        <v>403</v>
      </c>
      <c r="K338" s="61"/>
      <c r="L338" s="62" t="str">
        <f>IF(K338=0,"N/A",(LOOKUP(I338,'Cost Basis'!A$4:A$13,'Cost Basis'!E$4:E$13)+IF(LOOKUP(Model!I338,'Cost Basis'!A$4:A$11)=I338,LOOKUP(Model!I338,'Cost Basis'!A$4:A$11,'Cost Basis'!C$4:C$11)*Model!K338*(1+LOOKUP(I338,'Cost Basis'!A$4:A$13,'Cost Basis'!F$3:F$13)),LOOKUP(Model!I338,'Cost Basis'!A$4:A$13,'Cost Basis'!C$4:C$13)*ROUNDUP(Model!K338/5280/30,0))*(1+LOOKUP(I338,'Cost Basis'!A$4:A$13,'Cost Basis'!F$4:F$13))))</f>
        <v>N/A</v>
      </c>
      <c r="M338" s="268" t="str">
        <f t="shared" si="16"/>
        <v>N/A</v>
      </c>
      <c r="N338" s="64" t="s">
        <v>856</v>
      </c>
      <c r="O338" s="253"/>
      <c r="P338" s="69"/>
    </row>
    <row r="339" spans="1:16" x14ac:dyDescent="0.3">
      <c r="A339" s="80">
        <v>4.0520000000000174</v>
      </c>
      <c r="B339" s="123" t="s">
        <v>279</v>
      </c>
      <c r="C339" s="59" t="s">
        <v>329</v>
      </c>
      <c r="D339" s="65">
        <v>773</v>
      </c>
      <c r="E339" s="65">
        <v>415</v>
      </c>
      <c r="F339" s="59"/>
      <c r="G339" s="59"/>
      <c r="H339" s="87" t="str">
        <f>IF(B339="Projects","N/A",IF(B339="Served","N/A",('Cost Basis'!E$3+('Cost Basis'!C$3*Model!D339))*(1+'Cost Basis'!F$3)))</f>
        <v>N/A</v>
      </c>
      <c r="I339" s="88" t="s">
        <v>403</v>
      </c>
      <c r="J339" s="88" t="s">
        <v>403</v>
      </c>
      <c r="K339" s="61"/>
      <c r="L339" s="62" t="str">
        <f>IF(K339=0,"N/A",(LOOKUP(I339,'Cost Basis'!A$4:A$13,'Cost Basis'!E$4:E$13)+IF(LOOKUP(Model!I339,'Cost Basis'!A$4:A$11)=I339,LOOKUP(Model!I339,'Cost Basis'!A$4:A$11,'Cost Basis'!C$4:C$11)*Model!K339*(1+LOOKUP(I339,'Cost Basis'!A$4:A$13,'Cost Basis'!F$3:F$13)),LOOKUP(Model!I339,'Cost Basis'!A$4:A$13,'Cost Basis'!C$4:C$13)*ROUNDUP(Model!K339/5280/30,0))*(1+LOOKUP(I339,'Cost Basis'!A$4:A$13,'Cost Basis'!F$4:F$13))))</f>
        <v>N/A</v>
      </c>
      <c r="M339" s="268" t="str">
        <f t="shared" si="16"/>
        <v>N/A</v>
      </c>
      <c r="N339" s="64" t="s">
        <v>857</v>
      </c>
      <c r="O339" s="253"/>
      <c r="P339" s="69"/>
    </row>
    <row r="340" spans="1:16" x14ac:dyDescent="0.3">
      <c r="A340" s="80">
        <v>4.0530000000000177</v>
      </c>
      <c r="B340" s="123" t="s">
        <v>279</v>
      </c>
      <c r="C340" s="59" t="s">
        <v>330</v>
      </c>
      <c r="D340" s="65">
        <v>3056</v>
      </c>
      <c r="E340" s="65">
        <v>2408</v>
      </c>
      <c r="F340" s="59"/>
      <c r="G340" s="59"/>
      <c r="H340" s="87" t="str">
        <f>IF(B340="Projects","N/A",IF(B340="Served","N/A",('Cost Basis'!E$3+('Cost Basis'!C$3*Model!D340))*(1+'Cost Basis'!F$3)))</f>
        <v>N/A</v>
      </c>
      <c r="I340" s="88" t="s">
        <v>403</v>
      </c>
      <c r="J340" s="88" t="s">
        <v>403</v>
      </c>
      <c r="K340" s="61"/>
      <c r="L340" s="62" t="str">
        <f>IF(K340=0,"N/A",(LOOKUP(I340,'Cost Basis'!A$4:A$13,'Cost Basis'!E$4:E$13)+IF(LOOKUP(Model!I340,'Cost Basis'!A$4:A$11)=I340,LOOKUP(Model!I340,'Cost Basis'!A$4:A$11,'Cost Basis'!C$4:C$11)*Model!K340*(1+LOOKUP(I340,'Cost Basis'!A$4:A$13,'Cost Basis'!F$3:F$13)),LOOKUP(Model!I340,'Cost Basis'!A$4:A$13,'Cost Basis'!C$4:C$13)*ROUNDUP(Model!K340/5280/30,0))*(1+LOOKUP(I340,'Cost Basis'!A$4:A$13,'Cost Basis'!F$4:F$13))))</f>
        <v>N/A</v>
      </c>
      <c r="M340" s="268" t="str">
        <f t="shared" si="16"/>
        <v>N/A</v>
      </c>
      <c r="N340" s="64" t="s">
        <v>858</v>
      </c>
      <c r="O340" s="253"/>
      <c r="P340" s="69"/>
    </row>
    <row r="341" spans="1:16" x14ac:dyDescent="0.3">
      <c r="A341" s="80">
        <v>4.054000000000018</v>
      </c>
      <c r="B341" s="123" t="s">
        <v>279</v>
      </c>
      <c r="C341" s="59" t="s">
        <v>331</v>
      </c>
      <c r="D341" s="65">
        <v>917</v>
      </c>
      <c r="E341" s="65">
        <v>640</v>
      </c>
      <c r="F341" s="59"/>
      <c r="G341" s="59"/>
      <c r="H341" s="87" t="str">
        <f>IF(B341="Projects","N/A",IF(B341="Served","N/A",('Cost Basis'!E$3+('Cost Basis'!C$3*Model!D341))*(1+'Cost Basis'!F$3)))</f>
        <v>N/A</v>
      </c>
      <c r="I341" s="88" t="s">
        <v>403</v>
      </c>
      <c r="J341" s="88" t="s">
        <v>403</v>
      </c>
      <c r="K341" s="61"/>
      <c r="L341" s="62" t="str">
        <f>IF(K341=0,"N/A",(LOOKUP(I341,'Cost Basis'!A$4:A$13,'Cost Basis'!E$4:E$13)+IF(LOOKUP(Model!I341,'Cost Basis'!A$4:A$11)=I341,LOOKUP(Model!I341,'Cost Basis'!A$4:A$11,'Cost Basis'!C$4:C$11)*Model!K341*(1+LOOKUP(I341,'Cost Basis'!A$4:A$13,'Cost Basis'!F$3:F$13)),LOOKUP(Model!I341,'Cost Basis'!A$4:A$13,'Cost Basis'!C$4:C$13)*ROUNDUP(Model!K341/5280/30,0))*(1+LOOKUP(I341,'Cost Basis'!A$4:A$13,'Cost Basis'!F$4:F$13))))</f>
        <v>N/A</v>
      </c>
      <c r="M341" s="268" t="str">
        <f t="shared" si="16"/>
        <v>N/A</v>
      </c>
      <c r="N341" s="64" t="s">
        <v>859</v>
      </c>
      <c r="O341" s="253"/>
      <c r="P341" s="69"/>
    </row>
    <row r="342" spans="1:16" x14ac:dyDescent="0.3">
      <c r="A342" s="80">
        <v>4.0550000000000184</v>
      </c>
      <c r="B342" s="123" t="s">
        <v>279</v>
      </c>
      <c r="C342" s="59" t="s">
        <v>332</v>
      </c>
      <c r="D342" s="65" t="s">
        <v>402</v>
      </c>
      <c r="E342" s="65"/>
      <c r="F342" s="59"/>
      <c r="G342" s="59"/>
      <c r="H342" s="87" t="str">
        <f>IF(B342="Projects","N/A",IF(B342="Served","N/A",('Cost Basis'!E$3+('Cost Basis'!C$3*Model!D342))*(1+'Cost Basis'!F$3)))</f>
        <v>N/A</v>
      </c>
      <c r="I342" s="88" t="s">
        <v>403</v>
      </c>
      <c r="J342" s="88" t="s">
        <v>403</v>
      </c>
      <c r="K342" s="61"/>
      <c r="L342" s="62" t="str">
        <f>IF(K342=0,"N/A",(LOOKUP(I342,'Cost Basis'!A$4:A$13,'Cost Basis'!E$4:E$13)+IF(LOOKUP(Model!I342,'Cost Basis'!A$4:A$11)=I342,LOOKUP(Model!I342,'Cost Basis'!A$4:A$11,'Cost Basis'!C$4:C$11)*Model!K342*(1+LOOKUP(I342,'Cost Basis'!A$4:A$13,'Cost Basis'!F$3:F$13)),LOOKUP(Model!I342,'Cost Basis'!A$4:A$13,'Cost Basis'!C$4:C$13)*ROUNDUP(Model!K342/5280/30,0))*(1+LOOKUP(I342,'Cost Basis'!A$4:A$13,'Cost Basis'!F$4:F$13))))</f>
        <v>N/A</v>
      </c>
      <c r="M342" s="268" t="str">
        <f t="shared" si="16"/>
        <v>N/A</v>
      </c>
      <c r="N342" s="64" t="s">
        <v>860</v>
      </c>
      <c r="O342" s="253"/>
      <c r="P342" s="69"/>
    </row>
    <row r="343" spans="1:16" x14ac:dyDescent="0.3">
      <c r="A343" s="80">
        <v>4.0560000000000187</v>
      </c>
      <c r="B343" s="123" t="s">
        <v>279</v>
      </c>
      <c r="C343" s="59" t="s">
        <v>333</v>
      </c>
      <c r="D343" s="65">
        <v>13792</v>
      </c>
      <c r="E343" s="65">
        <v>12878</v>
      </c>
      <c r="F343" s="59"/>
      <c r="G343" s="59"/>
      <c r="H343" s="87" t="str">
        <f>IF(B343="Projects","N/A",IF(B343="Served","N/A",('Cost Basis'!E$3+('Cost Basis'!C$3*Model!D343))*(1+'Cost Basis'!F$3)))</f>
        <v>N/A</v>
      </c>
      <c r="I343" s="88" t="s">
        <v>403</v>
      </c>
      <c r="J343" s="88" t="s">
        <v>403</v>
      </c>
      <c r="K343" s="61"/>
      <c r="L343" s="62" t="str">
        <f>IF(K343=0,"N/A",(LOOKUP(I343,'Cost Basis'!A$4:A$13,'Cost Basis'!E$4:E$13)+IF(LOOKUP(Model!I343,'Cost Basis'!A$4:A$11)=I343,LOOKUP(Model!I343,'Cost Basis'!A$4:A$11,'Cost Basis'!C$4:C$11)*Model!K343*(1+LOOKUP(I343,'Cost Basis'!A$4:A$13,'Cost Basis'!F$3:F$13)),LOOKUP(Model!I343,'Cost Basis'!A$4:A$13,'Cost Basis'!C$4:C$13)*ROUNDUP(Model!K343/5280/30,0))*(1+LOOKUP(I343,'Cost Basis'!A$4:A$13,'Cost Basis'!F$4:F$13))))</f>
        <v>N/A</v>
      </c>
      <c r="M343" s="268" t="str">
        <f t="shared" si="16"/>
        <v>N/A</v>
      </c>
      <c r="N343" s="64" t="s">
        <v>861</v>
      </c>
      <c r="O343" s="253"/>
      <c r="P343" s="69"/>
    </row>
    <row r="344" spans="1:16" x14ac:dyDescent="0.3">
      <c r="A344" s="80">
        <v>4.057000000000019</v>
      </c>
      <c r="B344" s="123" t="s">
        <v>279</v>
      </c>
      <c r="C344" s="59" t="s">
        <v>334</v>
      </c>
      <c r="D344" s="65">
        <v>348</v>
      </c>
      <c r="E344" s="65">
        <v>239</v>
      </c>
      <c r="F344" s="59"/>
      <c r="G344" s="59"/>
      <c r="H344" s="87" t="str">
        <f>IF(B344="Projects","N/A",IF(B344="Served","N/A",('Cost Basis'!E$3+('Cost Basis'!C$3*Model!D344))*(1+'Cost Basis'!F$3)))</f>
        <v>N/A</v>
      </c>
      <c r="I344" s="88" t="s">
        <v>403</v>
      </c>
      <c r="J344" s="88" t="s">
        <v>403</v>
      </c>
      <c r="K344" s="61"/>
      <c r="L344" s="62" t="str">
        <f>IF(K344=0,"N/A",(LOOKUP(I344,'Cost Basis'!A$4:A$13,'Cost Basis'!E$4:E$13)+IF(LOOKUP(Model!I344,'Cost Basis'!A$4:A$11)=I344,LOOKUP(Model!I344,'Cost Basis'!A$4:A$11,'Cost Basis'!C$4:C$11)*Model!K344*(1+LOOKUP(I344,'Cost Basis'!A$4:A$13,'Cost Basis'!F$3:F$13)),LOOKUP(Model!I344,'Cost Basis'!A$4:A$13,'Cost Basis'!C$4:C$13)*ROUNDUP(Model!K344/5280/30,0))*(1+LOOKUP(I344,'Cost Basis'!A$4:A$13,'Cost Basis'!F$4:F$13))))</f>
        <v>N/A</v>
      </c>
      <c r="M344" s="268" t="str">
        <f t="shared" si="16"/>
        <v>N/A</v>
      </c>
      <c r="N344" s="64" t="s">
        <v>862</v>
      </c>
      <c r="O344" s="253"/>
      <c r="P344" s="69"/>
    </row>
    <row r="345" spans="1:16" x14ac:dyDescent="0.3">
      <c r="A345" s="80">
        <v>4.0580000000000194</v>
      </c>
      <c r="B345" s="123" t="s">
        <v>279</v>
      </c>
      <c r="C345" s="59" t="s">
        <v>335</v>
      </c>
      <c r="D345" s="65">
        <v>3741</v>
      </c>
      <c r="E345" s="65">
        <v>3080</v>
      </c>
      <c r="F345" s="59"/>
      <c r="G345" s="59"/>
      <c r="H345" s="87" t="str">
        <f>IF(B345="Projects","N/A",IF(B345="Served","N/A",('Cost Basis'!E$3+('Cost Basis'!C$3*Model!D345))*(1+'Cost Basis'!F$3)))</f>
        <v>N/A</v>
      </c>
      <c r="I345" s="88" t="s">
        <v>403</v>
      </c>
      <c r="J345" s="88" t="s">
        <v>403</v>
      </c>
      <c r="K345" s="61"/>
      <c r="L345" s="62" t="str">
        <f>IF(K345=0,"N/A",(LOOKUP(I345,'Cost Basis'!A$4:A$13,'Cost Basis'!E$4:E$13)+IF(LOOKUP(Model!I345,'Cost Basis'!A$4:A$11)=I345,LOOKUP(Model!I345,'Cost Basis'!A$4:A$11,'Cost Basis'!C$4:C$11)*Model!K345*(1+LOOKUP(I345,'Cost Basis'!A$4:A$13,'Cost Basis'!F$3:F$13)),LOOKUP(Model!I345,'Cost Basis'!A$4:A$13,'Cost Basis'!C$4:C$13)*ROUNDUP(Model!K345/5280/30,0))*(1+LOOKUP(I345,'Cost Basis'!A$4:A$13,'Cost Basis'!F$4:F$13))))</f>
        <v>N/A</v>
      </c>
      <c r="M345" s="268" t="str">
        <f t="shared" si="16"/>
        <v>N/A</v>
      </c>
      <c r="N345" s="64" t="s">
        <v>863</v>
      </c>
      <c r="O345" s="253"/>
      <c r="P345" s="69"/>
    </row>
    <row r="346" spans="1:16" x14ac:dyDescent="0.3">
      <c r="A346" s="80">
        <v>4.0590000000000197</v>
      </c>
      <c r="B346" s="123" t="s">
        <v>279</v>
      </c>
      <c r="C346" s="59" t="s">
        <v>336</v>
      </c>
      <c r="D346" s="65">
        <v>297</v>
      </c>
      <c r="E346" s="65">
        <v>175</v>
      </c>
      <c r="F346" s="59"/>
      <c r="G346" s="59"/>
      <c r="H346" s="87" t="str">
        <f>IF(B346="Projects","N/A",IF(B346="Served","N/A",('Cost Basis'!E$3+('Cost Basis'!C$3*Model!D346))*(1+'Cost Basis'!F$3)))</f>
        <v>N/A</v>
      </c>
      <c r="I346" s="88" t="s">
        <v>403</v>
      </c>
      <c r="J346" s="88" t="s">
        <v>403</v>
      </c>
      <c r="K346" s="61"/>
      <c r="L346" s="62" t="str">
        <f>IF(K346=0,"N/A",(LOOKUP(I346,'Cost Basis'!A$4:A$13,'Cost Basis'!E$4:E$13)+IF(LOOKUP(Model!I346,'Cost Basis'!A$4:A$11)=I346,LOOKUP(Model!I346,'Cost Basis'!A$4:A$11,'Cost Basis'!C$4:C$11)*Model!K346*(1+LOOKUP(I346,'Cost Basis'!A$4:A$13,'Cost Basis'!F$3:F$13)),LOOKUP(Model!I346,'Cost Basis'!A$4:A$13,'Cost Basis'!C$4:C$13)*ROUNDUP(Model!K346/5280/30,0))*(1+LOOKUP(I346,'Cost Basis'!A$4:A$13,'Cost Basis'!F$4:F$13))))</f>
        <v>N/A</v>
      </c>
      <c r="M346" s="268" t="str">
        <f t="shared" si="16"/>
        <v>N/A</v>
      </c>
      <c r="N346" s="64" t="s">
        <v>864</v>
      </c>
      <c r="O346" s="253"/>
      <c r="P346" s="69"/>
    </row>
    <row r="347" spans="1:16" x14ac:dyDescent="0.3">
      <c r="A347" s="80">
        <v>4.06000000000002</v>
      </c>
      <c r="B347" s="123" t="s">
        <v>279</v>
      </c>
      <c r="C347" s="59" t="s">
        <v>337</v>
      </c>
      <c r="D347" s="65">
        <v>3368</v>
      </c>
      <c r="E347" s="65">
        <v>2945</v>
      </c>
      <c r="F347" s="59"/>
      <c r="G347" s="59"/>
      <c r="H347" s="87" t="str">
        <f>IF(B347="Projects","N/A",IF(B347="Served","N/A",('Cost Basis'!E$3+('Cost Basis'!C$3*Model!D347))*(1+'Cost Basis'!F$3)))</f>
        <v>N/A</v>
      </c>
      <c r="I347" s="88" t="s">
        <v>403</v>
      </c>
      <c r="J347" s="88" t="s">
        <v>403</v>
      </c>
      <c r="K347" s="61"/>
      <c r="L347" s="62" t="str">
        <f>IF(K347=0,"N/A",(LOOKUP(I347,'Cost Basis'!A$4:A$13,'Cost Basis'!E$4:E$13)+IF(LOOKUP(Model!I347,'Cost Basis'!A$4:A$11)=I347,LOOKUP(Model!I347,'Cost Basis'!A$4:A$11,'Cost Basis'!C$4:C$11)*Model!K347*(1+LOOKUP(I347,'Cost Basis'!A$4:A$13,'Cost Basis'!F$3:F$13)),LOOKUP(Model!I347,'Cost Basis'!A$4:A$13,'Cost Basis'!C$4:C$13)*ROUNDUP(Model!K347/5280/30,0))*(1+LOOKUP(I347,'Cost Basis'!A$4:A$13,'Cost Basis'!F$4:F$13))))</f>
        <v>N/A</v>
      </c>
      <c r="M347" s="268" t="str">
        <f t="shared" si="16"/>
        <v>N/A</v>
      </c>
      <c r="N347" s="64" t="s">
        <v>865</v>
      </c>
      <c r="O347" s="253"/>
      <c r="P347" s="69"/>
    </row>
    <row r="348" spans="1:16" x14ac:dyDescent="0.3">
      <c r="A348" s="80">
        <v>4.0610000000000204</v>
      </c>
      <c r="B348" s="123" t="s">
        <v>279</v>
      </c>
      <c r="C348" s="59" t="s">
        <v>338</v>
      </c>
      <c r="D348" s="65">
        <v>271</v>
      </c>
      <c r="E348" s="65">
        <v>86</v>
      </c>
      <c r="F348" s="59"/>
      <c r="G348" s="59"/>
      <c r="H348" s="87" t="str">
        <f>IF(B348="Projects","N/A",IF(B348="Served","N/A",('Cost Basis'!E$3+('Cost Basis'!C$3*Model!D348))*(1+'Cost Basis'!F$3)))</f>
        <v>N/A</v>
      </c>
      <c r="I348" s="88" t="s">
        <v>403</v>
      </c>
      <c r="J348" s="88" t="s">
        <v>403</v>
      </c>
      <c r="K348" s="61"/>
      <c r="L348" s="62" t="str">
        <f>IF(K348=0,"N/A",(LOOKUP(I348,'Cost Basis'!A$4:A$13,'Cost Basis'!E$4:E$13)+IF(LOOKUP(Model!I348,'Cost Basis'!A$4:A$11)=I348,LOOKUP(Model!I348,'Cost Basis'!A$4:A$11,'Cost Basis'!C$4:C$11)*Model!K348*(1+LOOKUP(I348,'Cost Basis'!A$4:A$13,'Cost Basis'!F$3:F$13)),LOOKUP(Model!I348,'Cost Basis'!A$4:A$13,'Cost Basis'!C$4:C$13)*ROUNDUP(Model!K348/5280/30,0))*(1+LOOKUP(I348,'Cost Basis'!A$4:A$13,'Cost Basis'!F$4:F$13))))</f>
        <v>N/A</v>
      </c>
      <c r="M348" s="268" t="str">
        <f t="shared" si="16"/>
        <v>N/A</v>
      </c>
      <c r="N348" s="64" t="s">
        <v>866</v>
      </c>
      <c r="O348" s="253"/>
      <c r="P348" s="69"/>
    </row>
    <row r="349" spans="1:16" x14ac:dyDescent="0.3">
      <c r="A349" s="80">
        <v>4.0620000000000207</v>
      </c>
      <c r="B349" s="123" t="s">
        <v>279</v>
      </c>
      <c r="C349" s="59" t="s">
        <v>339</v>
      </c>
      <c r="D349" s="65">
        <v>3896</v>
      </c>
      <c r="E349" s="65">
        <v>3216</v>
      </c>
      <c r="F349" s="59"/>
      <c r="G349" s="59"/>
      <c r="H349" s="87" t="str">
        <f>IF(B349="Projects","N/A",IF(B349="Served","N/A",('Cost Basis'!E$3+('Cost Basis'!C$3*Model!D349))*(1+'Cost Basis'!F$3)))</f>
        <v>N/A</v>
      </c>
      <c r="I349" s="88" t="s">
        <v>403</v>
      </c>
      <c r="J349" s="88" t="s">
        <v>403</v>
      </c>
      <c r="K349" s="61"/>
      <c r="L349" s="62" t="str">
        <f>IF(K349=0,"N/A",(LOOKUP(I349,'Cost Basis'!A$4:A$13,'Cost Basis'!E$4:E$13)+IF(LOOKUP(Model!I349,'Cost Basis'!A$4:A$11)=I349,LOOKUP(Model!I349,'Cost Basis'!A$4:A$11,'Cost Basis'!C$4:C$11)*Model!K349*(1+LOOKUP(I349,'Cost Basis'!A$4:A$13,'Cost Basis'!F$3:F$13)),LOOKUP(Model!I349,'Cost Basis'!A$4:A$13,'Cost Basis'!C$4:C$13)*ROUNDUP(Model!K349/5280/30,0))*(1+LOOKUP(I349,'Cost Basis'!A$4:A$13,'Cost Basis'!F$4:F$13))))</f>
        <v>N/A</v>
      </c>
      <c r="M349" s="268" t="str">
        <f t="shared" si="16"/>
        <v>N/A</v>
      </c>
      <c r="N349" s="64" t="s">
        <v>867</v>
      </c>
      <c r="O349" s="253"/>
      <c r="P349" s="69"/>
    </row>
    <row r="350" spans="1:16" x14ac:dyDescent="0.3">
      <c r="A350" s="80">
        <v>4.063000000000021</v>
      </c>
      <c r="B350" s="123" t="s">
        <v>279</v>
      </c>
      <c r="C350" s="59" t="s">
        <v>340</v>
      </c>
      <c r="D350" s="65">
        <v>5793</v>
      </c>
      <c r="E350" s="65">
        <v>5000</v>
      </c>
      <c r="F350" s="59"/>
      <c r="G350" s="59"/>
      <c r="H350" s="87" t="str">
        <f>IF(B350="Projects","N/A",IF(B350="Served","N/A",('Cost Basis'!E$3+('Cost Basis'!C$3*Model!D350))*(1+'Cost Basis'!F$3)))</f>
        <v>N/A</v>
      </c>
      <c r="I350" s="88" t="s">
        <v>403</v>
      </c>
      <c r="J350" s="88" t="s">
        <v>403</v>
      </c>
      <c r="K350" s="61"/>
      <c r="L350" s="62" t="str">
        <f>IF(K350=0,"N/A",(LOOKUP(I350,'Cost Basis'!A$4:A$13,'Cost Basis'!E$4:E$13)+IF(LOOKUP(Model!I350,'Cost Basis'!A$4:A$11)=I350,LOOKUP(Model!I350,'Cost Basis'!A$4:A$11,'Cost Basis'!C$4:C$11)*Model!K350*(1+LOOKUP(I350,'Cost Basis'!A$4:A$13,'Cost Basis'!F$3:F$13)),LOOKUP(Model!I350,'Cost Basis'!A$4:A$13,'Cost Basis'!C$4:C$13)*ROUNDUP(Model!K350/5280/30,0))*(1+LOOKUP(I350,'Cost Basis'!A$4:A$13,'Cost Basis'!F$4:F$13))))</f>
        <v>N/A</v>
      </c>
      <c r="M350" s="268" t="str">
        <f t="shared" si="16"/>
        <v>N/A</v>
      </c>
      <c r="N350" s="64" t="s">
        <v>868</v>
      </c>
      <c r="O350" s="253"/>
      <c r="P350" s="69"/>
    </row>
    <row r="351" spans="1:16" x14ac:dyDescent="0.3">
      <c r="A351" s="80">
        <v>4.0640000000000214</v>
      </c>
      <c r="B351" s="123" t="s">
        <v>279</v>
      </c>
      <c r="C351" s="59" t="s">
        <v>341</v>
      </c>
      <c r="D351" s="65">
        <v>342</v>
      </c>
      <c r="E351" s="65">
        <v>283</v>
      </c>
      <c r="F351" s="59"/>
      <c r="G351" s="59"/>
      <c r="H351" s="87" t="str">
        <f>IF(B351="Projects","N/A",IF(B351="Served","N/A",('Cost Basis'!E$3+('Cost Basis'!C$3*Model!D351))*(1+'Cost Basis'!F$3)))</f>
        <v>N/A</v>
      </c>
      <c r="I351" s="88" t="s">
        <v>403</v>
      </c>
      <c r="J351" s="88" t="s">
        <v>403</v>
      </c>
      <c r="K351" s="61"/>
      <c r="L351" s="62" t="str">
        <f>IF(K351=0,"N/A",(LOOKUP(I351,'Cost Basis'!A$4:A$13,'Cost Basis'!E$4:E$13)+IF(LOOKUP(Model!I351,'Cost Basis'!A$4:A$11)=I351,LOOKUP(Model!I351,'Cost Basis'!A$4:A$11,'Cost Basis'!C$4:C$11)*Model!K351*(1+LOOKUP(I351,'Cost Basis'!A$4:A$13,'Cost Basis'!F$3:F$13)),LOOKUP(Model!I351,'Cost Basis'!A$4:A$13,'Cost Basis'!C$4:C$13)*ROUNDUP(Model!K351/5280/30,0))*(1+LOOKUP(I351,'Cost Basis'!A$4:A$13,'Cost Basis'!F$4:F$13))))</f>
        <v>N/A</v>
      </c>
      <c r="M351" s="268" t="str">
        <f t="shared" si="16"/>
        <v>N/A</v>
      </c>
      <c r="N351" s="64" t="s">
        <v>869</v>
      </c>
      <c r="O351" s="253"/>
      <c r="P351" s="69"/>
    </row>
    <row r="352" spans="1:16" x14ac:dyDescent="0.3">
      <c r="A352" s="80">
        <v>4.0650000000000217</v>
      </c>
      <c r="B352" s="123" t="s">
        <v>279</v>
      </c>
      <c r="C352" s="59" t="s">
        <v>342</v>
      </c>
      <c r="D352" s="65">
        <v>1978</v>
      </c>
      <c r="E352" s="65">
        <v>1680</v>
      </c>
      <c r="F352" s="59"/>
      <c r="G352" s="59"/>
      <c r="H352" s="87" t="str">
        <f>IF(B352="Projects","N/A",IF(B352="Served","N/A",('Cost Basis'!E$3+('Cost Basis'!C$3*Model!D352))*(1+'Cost Basis'!F$3)))</f>
        <v>N/A</v>
      </c>
      <c r="I352" s="88" t="s">
        <v>403</v>
      </c>
      <c r="J352" s="88" t="s">
        <v>403</v>
      </c>
      <c r="K352" s="61"/>
      <c r="L352" s="62" t="str">
        <f>IF(K352=0,"N/A",(LOOKUP(I352,'Cost Basis'!A$4:A$13,'Cost Basis'!E$4:E$13)+IF(LOOKUP(Model!I352,'Cost Basis'!A$4:A$11)=I352,LOOKUP(Model!I352,'Cost Basis'!A$4:A$11,'Cost Basis'!C$4:C$11)*Model!K352*(1+LOOKUP(I352,'Cost Basis'!A$4:A$13,'Cost Basis'!F$3:F$13)),LOOKUP(Model!I352,'Cost Basis'!A$4:A$13,'Cost Basis'!C$4:C$13)*ROUNDUP(Model!K352/5280/30,0))*(1+LOOKUP(I352,'Cost Basis'!A$4:A$13,'Cost Basis'!F$4:F$13))))</f>
        <v>N/A</v>
      </c>
      <c r="M352" s="268" t="str">
        <f t="shared" si="16"/>
        <v>N/A</v>
      </c>
      <c r="N352" s="64" t="s">
        <v>870</v>
      </c>
      <c r="O352" s="253"/>
      <c r="P352" s="69"/>
    </row>
    <row r="353" spans="1:16" x14ac:dyDescent="0.3">
      <c r="A353" s="80">
        <v>4.066000000000022</v>
      </c>
      <c r="B353" s="123" t="s">
        <v>279</v>
      </c>
      <c r="C353" s="59" t="s">
        <v>343</v>
      </c>
      <c r="D353" s="65">
        <v>552</v>
      </c>
      <c r="E353" s="65">
        <v>497</v>
      </c>
      <c r="F353" s="59"/>
      <c r="G353" s="59"/>
      <c r="H353" s="87" t="str">
        <f>IF(B353="Projects","N/A",IF(B353="Served","N/A",('Cost Basis'!E$3+('Cost Basis'!C$3*Model!D353))*(1+'Cost Basis'!F$3)))</f>
        <v>N/A</v>
      </c>
      <c r="I353" s="88" t="s">
        <v>403</v>
      </c>
      <c r="J353" s="88" t="s">
        <v>403</v>
      </c>
      <c r="K353" s="61"/>
      <c r="L353" s="62" t="str">
        <f>IF(K353=0,"N/A",(LOOKUP(I353,'Cost Basis'!A$4:A$13,'Cost Basis'!E$4:E$13)+IF(LOOKUP(Model!I353,'Cost Basis'!A$4:A$11)=I353,LOOKUP(Model!I353,'Cost Basis'!A$4:A$11,'Cost Basis'!C$4:C$11)*Model!K353*(1+LOOKUP(I353,'Cost Basis'!A$4:A$13,'Cost Basis'!F$3:F$13)),LOOKUP(Model!I353,'Cost Basis'!A$4:A$13,'Cost Basis'!C$4:C$13)*ROUNDUP(Model!K353/5280/30,0))*(1+LOOKUP(I353,'Cost Basis'!A$4:A$13,'Cost Basis'!F$4:F$13))))</f>
        <v>N/A</v>
      </c>
      <c r="M353" s="268" t="str">
        <f t="shared" si="16"/>
        <v>N/A</v>
      </c>
      <c r="N353" s="64" t="s">
        <v>871</v>
      </c>
      <c r="O353" s="253"/>
      <c r="P353" s="69"/>
    </row>
    <row r="354" spans="1:16" x14ac:dyDescent="0.3">
      <c r="A354" s="80">
        <v>4.0670000000000224</v>
      </c>
      <c r="B354" s="123" t="s">
        <v>279</v>
      </c>
      <c r="C354" s="59" t="s">
        <v>344</v>
      </c>
      <c r="D354" s="65">
        <v>1222</v>
      </c>
      <c r="E354" s="65">
        <v>922</v>
      </c>
      <c r="F354" s="59"/>
      <c r="G354" s="59"/>
      <c r="H354" s="87" t="str">
        <f>IF(B354="Projects","N/A",IF(B354="Served","N/A",('Cost Basis'!E$3+('Cost Basis'!C$3*Model!D354))*(1+'Cost Basis'!F$3)))</f>
        <v>N/A</v>
      </c>
      <c r="I354" s="88" t="s">
        <v>403</v>
      </c>
      <c r="J354" s="88" t="s">
        <v>403</v>
      </c>
      <c r="K354" s="61"/>
      <c r="L354" s="62" t="str">
        <f>IF(K354=0,"N/A",(LOOKUP(I354,'Cost Basis'!A$4:A$13,'Cost Basis'!E$4:E$13)+IF(LOOKUP(Model!I354,'Cost Basis'!A$4:A$11)=I354,LOOKUP(Model!I354,'Cost Basis'!A$4:A$11,'Cost Basis'!C$4:C$11)*Model!K354*(1+LOOKUP(I354,'Cost Basis'!A$4:A$13,'Cost Basis'!F$3:F$13)),LOOKUP(Model!I354,'Cost Basis'!A$4:A$13,'Cost Basis'!C$4:C$13)*ROUNDUP(Model!K354/5280/30,0))*(1+LOOKUP(I354,'Cost Basis'!A$4:A$13,'Cost Basis'!F$4:F$13))))</f>
        <v>N/A</v>
      </c>
      <c r="M354" s="268" t="str">
        <f t="shared" si="16"/>
        <v>N/A</v>
      </c>
      <c r="N354" s="64" t="s">
        <v>872</v>
      </c>
      <c r="O354" s="253"/>
      <c r="P354" s="69"/>
    </row>
    <row r="355" spans="1:16" x14ac:dyDescent="0.3">
      <c r="A355" s="80">
        <v>4.0680000000000227</v>
      </c>
      <c r="B355" s="123" t="s">
        <v>279</v>
      </c>
      <c r="C355" s="59" t="s">
        <v>345</v>
      </c>
      <c r="D355" s="65">
        <v>26</v>
      </c>
      <c r="E355" s="65">
        <v>3</v>
      </c>
      <c r="F355" s="59"/>
      <c r="G355" s="59"/>
      <c r="H355" s="87" t="str">
        <f>IF(B355="Projects","N/A",IF(B355="Served","N/A",('Cost Basis'!E$3+('Cost Basis'!C$3*Model!D355))*(1+'Cost Basis'!F$3)))</f>
        <v>N/A</v>
      </c>
      <c r="I355" s="88" t="s">
        <v>403</v>
      </c>
      <c r="J355" s="88" t="s">
        <v>403</v>
      </c>
      <c r="K355" s="61"/>
      <c r="L355" s="62" t="str">
        <f>IF(K355=0,"N/A",(LOOKUP(I355,'Cost Basis'!A$4:A$13,'Cost Basis'!E$4:E$13)+IF(LOOKUP(Model!I355,'Cost Basis'!A$4:A$11)=I355,LOOKUP(Model!I355,'Cost Basis'!A$4:A$11,'Cost Basis'!C$4:C$11)*Model!K355*(1+LOOKUP(I355,'Cost Basis'!A$4:A$13,'Cost Basis'!F$3:F$13)),LOOKUP(Model!I355,'Cost Basis'!A$4:A$13,'Cost Basis'!C$4:C$13)*ROUNDUP(Model!K355/5280/30,0))*(1+LOOKUP(I355,'Cost Basis'!A$4:A$13,'Cost Basis'!F$4:F$13))))</f>
        <v>N/A</v>
      </c>
      <c r="M355" s="268" t="str">
        <f t="shared" si="16"/>
        <v>N/A</v>
      </c>
      <c r="N355" s="64" t="s">
        <v>873</v>
      </c>
      <c r="O355" s="253"/>
      <c r="P355" s="69"/>
    </row>
    <row r="356" spans="1:16" x14ac:dyDescent="0.3">
      <c r="A356" s="80">
        <v>4.069000000000023</v>
      </c>
      <c r="B356" s="123" t="s">
        <v>279</v>
      </c>
      <c r="C356" s="59" t="s">
        <v>347</v>
      </c>
      <c r="D356" s="65">
        <v>616</v>
      </c>
      <c r="E356" s="65">
        <v>563</v>
      </c>
      <c r="F356" s="59"/>
      <c r="G356" s="59"/>
      <c r="H356" s="87" t="str">
        <f>IF(B356="Projects","N/A",IF(B356="Served","N/A",('Cost Basis'!E$3+('Cost Basis'!C$3*Model!D356))*(1+'Cost Basis'!F$3)))</f>
        <v>N/A</v>
      </c>
      <c r="I356" s="88" t="s">
        <v>403</v>
      </c>
      <c r="J356" s="88" t="s">
        <v>403</v>
      </c>
      <c r="K356" s="61"/>
      <c r="L356" s="62" t="str">
        <f>IF(K356=0,"N/A",(LOOKUP(I356,'Cost Basis'!A$4:A$13,'Cost Basis'!E$4:E$13)+IF(LOOKUP(Model!I356,'Cost Basis'!A$4:A$11)=I356,LOOKUP(Model!I356,'Cost Basis'!A$4:A$11,'Cost Basis'!C$4:C$11)*Model!K356*(1+LOOKUP(I356,'Cost Basis'!A$4:A$13,'Cost Basis'!F$3:F$13)),LOOKUP(Model!I356,'Cost Basis'!A$4:A$13,'Cost Basis'!C$4:C$13)*ROUNDUP(Model!K356/5280/30,0))*(1+LOOKUP(I356,'Cost Basis'!A$4:A$13,'Cost Basis'!F$4:F$13))))</f>
        <v>N/A</v>
      </c>
      <c r="M356" s="268" t="str">
        <f t="shared" si="16"/>
        <v>N/A</v>
      </c>
      <c r="N356" s="64" t="s">
        <v>874</v>
      </c>
      <c r="O356" s="253"/>
      <c r="P356" s="69"/>
    </row>
    <row r="357" spans="1:16" x14ac:dyDescent="0.3">
      <c r="A357" s="80">
        <v>4.0700000000000234</v>
      </c>
      <c r="B357" s="123" t="s">
        <v>279</v>
      </c>
      <c r="C357" s="59" t="s">
        <v>86</v>
      </c>
      <c r="D357" s="65">
        <v>41</v>
      </c>
      <c r="E357" s="65">
        <v>0</v>
      </c>
      <c r="F357" s="59"/>
      <c r="G357" s="59"/>
      <c r="H357" s="87" t="str">
        <f>IF(B357="Projects","N/A",IF(B357="Served","N/A",('Cost Basis'!E$3+('Cost Basis'!C$3*Model!D357))*(1+'Cost Basis'!F$3)))</f>
        <v>N/A</v>
      </c>
      <c r="I357" s="88" t="s">
        <v>403</v>
      </c>
      <c r="J357" s="88" t="s">
        <v>403</v>
      </c>
      <c r="K357" s="61"/>
      <c r="L357" s="62" t="str">
        <f>IF(K357=0,"N/A",(LOOKUP(I357,'Cost Basis'!A$4:A$13,'Cost Basis'!E$4:E$13)+IF(LOOKUP(Model!I357,'Cost Basis'!A$4:A$11)=I357,LOOKUP(Model!I357,'Cost Basis'!A$4:A$11,'Cost Basis'!C$4:C$11)*Model!K357*(1+LOOKUP(I357,'Cost Basis'!A$4:A$13,'Cost Basis'!F$3:F$13)),LOOKUP(Model!I357,'Cost Basis'!A$4:A$13,'Cost Basis'!C$4:C$13)*ROUNDUP(Model!K357/5280/30,0))*(1+LOOKUP(I357,'Cost Basis'!A$4:A$13,'Cost Basis'!F$4:F$13))))</f>
        <v>N/A</v>
      </c>
      <c r="M357" s="268" t="str">
        <f t="shared" si="16"/>
        <v>N/A</v>
      </c>
      <c r="N357" s="64" t="s">
        <v>875</v>
      </c>
      <c r="O357" s="253"/>
      <c r="P357" s="69"/>
    </row>
    <row r="358" spans="1:16" x14ac:dyDescent="0.3">
      <c r="A358" s="80">
        <v>4.0710000000000237</v>
      </c>
      <c r="B358" s="123" t="s">
        <v>279</v>
      </c>
      <c r="C358" s="59" t="s">
        <v>349</v>
      </c>
      <c r="D358" s="65">
        <v>3035</v>
      </c>
      <c r="E358" s="65">
        <v>2467</v>
      </c>
      <c r="F358" s="59"/>
      <c r="G358" s="59"/>
      <c r="H358" s="87" t="str">
        <f>IF(B358="Projects","N/A",IF(B358="Served","N/A",('Cost Basis'!E$3+('Cost Basis'!C$3*Model!D358))*(1+'Cost Basis'!F$3)))</f>
        <v>N/A</v>
      </c>
      <c r="I358" s="88" t="s">
        <v>403</v>
      </c>
      <c r="J358" s="88" t="s">
        <v>403</v>
      </c>
      <c r="K358" s="61"/>
      <c r="L358" s="62" t="str">
        <f>IF(K358=0,"N/A",(LOOKUP(I358,'Cost Basis'!A$4:A$13,'Cost Basis'!E$4:E$13)+IF(LOOKUP(Model!I358,'Cost Basis'!A$4:A$11)=I358,LOOKUP(Model!I358,'Cost Basis'!A$4:A$11,'Cost Basis'!C$4:C$11)*Model!K358*(1+LOOKUP(I358,'Cost Basis'!A$4:A$13,'Cost Basis'!F$3:F$13)),LOOKUP(Model!I358,'Cost Basis'!A$4:A$13,'Cost Basis'!C$4:C$13)*ROUNDUP(Model!K358/5280/30,0))*(1+LOOKUP(I358,'Cost Basis'!A$4:A$13,'Cost Basis'!F$4:F$13))))</f>
        <v>N/A</v>
      </c>
      <c r="M358" s="268" t="str">
        <f t="shared" si="16"/>
        <v>N/A</v>
      </c>
      <c r="N358" s="64" t="s">
        <v>876</v>
      </c>
      <c r="O358" s="253"/>
      <c r="P358" s="69"/>
    </row>
    <row r="359" spans="1:16" x14ac:dyDescent="0.3">
      <c r="A359" s="80">
        <v>4.072000000000024</v>
      </c>
      <c r="B359" s="123" t="s">
        <v>279</v>
      </c>
      <c r="C359" s="59" t="s">
        <v>351</v>
      </c>
      <c r="D359" s="65">
        <v>274</v>
      </c>
      <c r="E359" s="65">
        <v>251</v>
      </c>
      <c r="F359" s="59"/>
      <c r="G359" s="59"/>
      <c r="H359" s="87" t="str">
        <f>IF(B359="Projects","N/A",IF(B359="Served","N/A",('Cost Basis'!E$3+('Cost Basis'!C$3*Model!D359))*(1+'Cost Basis'!F$3)))</f>
        <v>N/A</v>
      </c>
      <c r="I359" s="88" t="s">
        <v>403</v>
      </c>
      <c r="J359" s="88" t="s">
        <v>403</v>
      </c>
      <c r="K359" s="61"/>
      <c r="L359" s="62" t="str">
        <f>IF(K359=0,"N/A",(LOOKUP(I359,'Cost Basis'!A$4:A$13,'Cost Basis'!E$4:E$13)+IF(LOOKUP(Model!I359,'Cost Basis'!A$4:A$11)=I359,LOOKUP(Model!I359,'Cost Basis'!A$4:A$11,'Cost Basis'!C$4:C$11)*Model!K359*(1+LOOKUP(I359,'Cost Basis'!A$4:A$13,'Cost Basis'!F$3:F$13)),LOOKUP(Model!I359,'Cost Basis'!A$4:A$13,'Cost Basis'!C$4:C$13)*ROUNDUP(Model!K359/5280/30,0))*(1+LOOKUP(I359,'Cost Basis'!A$4:A$13,'Cost Basis'!F$4:F$13))))</f>
        <v>N/A</v>
      </c>
      <c r="M359" s="268" t="str">
        <f t="shared" si="16"/>
        <v>N/A</v>
      </c>
      <c r="N359" s="64" t="s">
        <v>877</v>
      </c>
      <c r="O359" s="253"/>
      <c r="P359" s="69"/>
    </row>
    <row r="360" spans="1:16" x14ac:dyDescent="0.3">
      <c r="A360" s="80">
        <v>4.0730000000000244</v>
      </c>
      <c r="B360" s="123" t="s">
        <v>279</v>
      </c>
      <c r="C360" s="59" t="s">
        <v>346</v>
      </c>
      <c r="D360" s="65">
        <v>241</v>
      </c>
      <c r="E360" s="65">
        <v>158</v>
      </c>
      <c r="F360" s="59"/>
      <c r="G360" s="59"/>
      <c r="H360" s="87" t="str">
        <f>IF(B360="Projects","N/A",IF(B360="Served","N/A",('Cost Basis'!E$3+('Cost Basis'!C$3*Model!D360))*(1+'Cost Basis'!F$3)))</f>
        <v>N/A</v>
      </c>
      <c r="I360" s="88" t="s">
        <v>403</v>
      </c>
      <c r="J360" s="88" t="s">
        <v>403</v>
      </c>
      <c r="K360" s="61"/>
      <c r="L360" s="62" t="str">
        <f>IF(K360=0,"N/A",(LOOKUP(I360,'Cost Basis'!A$4:A$13,'Cost Basis'!E$4:E$13)+IF(LOOKUP(Model!I360,'Cost Basis'!A$4:A$11)=I360,LOOKUP(Model!I360,'Cost Basis'!A$4:A$11,'Cost Basis'!C$4:C$11)*Model!K360*(1+LOOKUP(I360,'Cost Basis'!A$4:A$13,'Cost Basis'!F$3:F$13)),LOOKUP(Model!I360,'Cost Basis'!A$4:A$13,'Cost Basis'!C$4:C$13)*ROUNDUP(Model!K360/5280/30,0))*(1+LOOKUP(I360,'Cost Basis'!A$4:A$13,'Cost Basis'!F$4:F$13))))</f>
        <v>N/A</v>
      </c>
      <c r="M360" s="268" t="str">
        <f t="shared" si="16"/>
        <v>N/A</v>
      </c>
      <c r="N360" s="64" t="s">
        <v>878</v>
      </c>
      <c r="O360" s="253"/>
      <c r="P360" s="69"/>
    </row>
    <row r="361" spans="1:16" x14ac:dyDescent="0.3">
      <c r="A361" s="80">
        <v>4.0740000000000247</v>
      </c>
      <c r="B361" s="123" t="s">
        <v>279</v>
      </c>
      <c r="C361" s="59" t="s">
        <v>348</v>
      </c>
      <c r="D361" s="65">
        <v>65</v>
      </c>
      <c r="E361" s="65">
        <v>51</v>
      </c>
      <c r="F361" s="59"/>
      <c r="G361" s="59"/>
      <c r="H361" s="87" t="str">
        <f>IF(B361="Projects","N/A",IF(B361="Served","N/A",('Cost Basis'!E$3+('Cost Basis'!C$3*Model!D361))*(1+'Cost Basis'!F$3)))</f>
        <v>N/A</v>
      </c>
      <c r="I361" s="88" t="s">
        <v>403</v>
      </c>
      <c r="J361" s="88" t="s">
        <v>403</v>
      </c>
      <c r="K361" s="61"/>
      <c r="L361" s="62" t="str">
        <f>IF(K361=0,"N/A",(LOOKUP(I361,'Cost Basis'!A$4:A$13,'Cost Basis'!E$4:E$13)+IF(LOOKUP(Model!I361,'Cost Basis'!A$4:A$11)=I361,LOOKUP(Model!I361,'Cost Basis'!A$4:A$11,'Cost Basis'!C$4:C$11)*Model!K361*(1+LOOKUP(I361,'Cost Basis'!A$4:A$13,'Cost Basis'!F$3:F$13)),LOOKUP(Model!I361,'Cost Basis'!A$4:A$13,'Cost Basis'!C$4:C$13)*ROUNDUP(Model!K361/5280/30,0))*(1+LOOKUP(I361,'Cost Basis'!A$4:A$13,'Cost Basis'!F$4:F$13))))</f>
        <v>N/A</v>
      </c>
      <c r="M361" s="268" t="str">
        <f t="shared" si="16"/>
        <v>N/A</v>
      </c>
      <c r="N361" s="64" t="s">
        <v>879</v>
      </c>
      <c r="O361" s="253"/>
      <c r="P361" s="69"/>
    </row>
    <row r="362" spans="1:16" x14ac:dyDescent="0.3">
      <c r="A362" s="80">
        <v>4.075000000000025</v>
      </c>
      <c r="B362" s="123" t="s">
        <v>279</v>
      </c>
      <c r="C362" s="59" t="s">
        <v>350</v>
      </c>
      <c r="D362" s="65">
        <v>1813</v>
      </c>
      <c r="E362" s="65">
        <v>1376</v>
      </c>
      <c r="F362" s="59"/>
      <c r="G362" s="59"/>
      <c r="H362" s="87" t="str">
        <f>IF(B362="Projects","N/A",IF(B362="Served","N/A",('Cost Basis'!E$3+('Cost Basis'!C$3*Model!D362))*(1+'Cost Basis'!F$3)))</f>
        <v>N/A</v>
      </c>
      <c r="I362" s="88" t="s">
        <v>403</v>
      </c>
      <c r="J362" s="88" t="s">
        <v>403</v>
      </c>
      <c r="K362" s="61"/>
      <c r="L362" s="62" t="str">
        <f>IF(K362=0,"N/A",(LOOKUP(I362,'Cost Basis'!A$4:A$13,'Cost Basis'!E$4:E$13)+IF(LOOKUP(Model!I362,'Cost Basis'!A$4:A$11)=I362,LOOKUP(Model!I362,'Cost Basis'!A$4:A$11,'Cost Basis'!C$4:C$11)*Model!K362*(1+LOOKUP(I362,'Cost Basis'!A$4:A$13,'Cost Basis'!F$3:F$13)),LOOKUP(Model!I362,'Cost Basis'!A$4:A$13,'Cost Basis'!C$4:C$13)*ROUNDUP(Model!K362/5280/30,0))*(1+LOOKUP(I362,'Cost Basis'!A$4:A$13,'Cost Basis'!F$4:F$13))))</f>
        <v>N/A</v>
      </c>
      <c r="M362" s="268" t="str">
        <f t="shared" si="16"/>
        <v>N/A</v>
      </c>
      <c r="N362" s="64" t="s">
        <v>880</v>
      </c>
      <c r="O362" s="253"/>
      <c r="P362" s="69"/>
    </row>
    <row r="363" spans="1:16" x14ac:dyDescent="0.3">
      <c r="A363" s="80">
        <v>4.0760000000000254</v>
      </c>
      <c r="B363" s="123" t="s">
        <v>279</v>
      </c>
      <c r="C363" s="59" t="s">
        <v>352</v>
      </c>
      <c r="D363" s="65">
        <v>940</v>
      </c>
      <c r="E363" s="65">
        <v>362</v>
      </c>
      <c r="F363" s="59"/>
      <c r="G363" s="59"/>
      <c r="H363" s="87" t="str">
        <f>IF(B363="Projects","N/A",IF(B363="Served","N/A",('Cost Basis'!E$3+('Cost Basis'!C$3*Model!D363))*(1+'Cost Basis'!F$3)))</f>
        <v>N/A</v>
      </c>
      <c r="I363" s="88" t="s">
        <v>403</v>
      </c>
      <c r="J363" s="88" t="s">
        <v>403</v>
      </c>
      <c r="K363" s="61"/>
      <c r="L363" s="62" t="str">
        <f>IF(K363=0,"N/A",(LOOKUP(I363,'Cost Basis'!A$4:A$13,'Cost Basis'!E$4:E$13)+IF(LOOKUP(Model!I363,'Cost Basis'!A$4:A$11)=I363,LOOKUP(Model!I363,'Cost Basis'!A$4:A$11,'Cost Basis'!C$4:C$11)*Model!K363*(1+LOOKUP(I363,'Cost Basis'!A$4:A$13,'Cost Basis'!F$3:F$13)),LOOKUP(Model!I363,'Cost Basis'!A$4:A$13,'Cost Basis'!C$4:C$13)*ROUNDUP(Model!K363/5280/30,0))*(1+LOOKUP(I363,'Cost Basis'!A$4:A$13,'Cost Basis'!F$4:F$13))))</f>
        <v>N/A</v>
      </c>
      <c r="M363" s="268" t="str">
        <f t="shared" si="16"/>
        <v>N/A</v>
      </c>
      <c r="N363" s="64" t="s">
        <v>881</v>
      </c>
      <c r="O363" s="253"/>
      <c r="P363" s="69"/>
    </row>
    <row r="364" spans="1:16" x14ac:dyDescent="0.3">
      <c r="A364" s="80">
        <v>4.0770000000000257</v>
      </c>
      <c r="B364" s="123" t="s">
        <v>279</v>
      </c>
      <c r="C364" s="59" t="s">
        <v>353</v>
      </c>
      <c r="D364" s="65">
        <v>1580</v>
      </c>
      <c r="E364" s="65">
        <v>1251</v>
      </c>
      <c r="F364" s="59"/>
      <c r="G364" s="59"/>
      <c r="H364" s="87" t="str">
        <f>IF(B364="Projects","N/A",IF(B364="Served","N/A",('Cost Basis'!E$3+('Cost Basis'!C$3*Model!D364))*(1+'Cost Basis'!F$3)))</f>
        <v>N/A</v>
      </c>
      <c r="I364" s="88" t="s">
        <v>403</v>
      </c>
      <c r="J364" s="88" t="s">
        <v>403</v>
      </c>
      <c r="K364" s="61"/>
      <c r="L364" s="62" t="str">
        <f>IF(K364=0,"N/A",(LOOKUP(I364,'Cost Basis'!A$4:A$13,'Cost Basis'!E$4:E$13)+IF(LOOKUP(Model!I364,'Cost Basis'!A$4:A$11)=I364,LOOKUP(Model!I364,'Cost Basis'!A$4:A$11,'Cost Basis'!C$4:C$11)*Model!K364*(1+LOOKUP(I364,'Cost Basis'!A$4:A$13,'Cost Basis'!F$3:F$13)),LOOKUP(Model!I364,'Cost Basis'!A$4:A$13,'Cost Basis'!C$4:C$13)*ROUNDUP(Model!K364/5280/30,0))*(1+LOOKUP(I364,'Cost Basis'!A$4:A$13,'Cost Basis'!F$4:F$13))))</f>
        <v>N/A</v>
      </c>
      <c r="M364" s="268" t="str">
        <f t="shared" si="16"/>
        <v>N/A</v>
      </c>
      <c r="N364" s="64" t="s">
        <v>882</v>
      </c>
      <c r="O364" s="253"/>
      <c r="P364" s="69"/>
    </row>
    <row r="365" spans="1:16" x14ac:dyDescent="0.3">
      <c r="A365" s="80">
        <v>4.078000000000026</v>
      </c>
      <c r="B365" s="123" t="s">
        <v>279</v>
      </c>
      <c r="C365" s="59" t="s">
        <v>376</v>
      </c>
      <c r="D365" s="65">
        <v>3111</v>
      </c>
      <c r="E365" s="65">
        <v>2756</v>
      </c>
      <c r="F365" s="59"/>
      <c r="G365" s="59"/>
      <c r="H365" s="87" t="str">
        <f>IF(B365="Projects","N/A",IF(B365="Served","N/A",('Cost Basis'!E$3+('Cost Basis'!C$3*Model!D365))*(1+'Cost Basis'!F$3)))</f>
        <v>N/A</v>
      </c>
      <c r="I365" s="88" t="s">
        <v>403</v>
      </c>
      <c r="J365" s="88" t="s">
        <v>403</v>
      </c>
      <c r="K365" s="61"/>
      <c r="L365" s="62" t="str">
        <f>IF(K365=0,"N/A",(LOOKUP(I365,'Cost Basis'!A$4:A$13,'Cost Basis'!E$4:E$13)+IF(LOOKUP(Model!I365,'Cost Basis'!A$4:A$11)=I365,LOOKUP(Model!I365,'Cost Basis'!A$4:A$11,'Cost Basis'!C$4:C$11)*Model!K365*(1+LOOKUP(I365,'Cost Basis'!A$4:A$13,'Cost Basis'!F$3:F$13)),LOOKUP(Model!I365,'Cost Basis'!A$4:A$13,'Cost Basis'!C$4:C$13)*ROUNDUP(Model!K365/5280/30,0))*(1+LOOKUP(I365,'Cost Basis'!A$4:A$13,'Cost Basis'!F$4:F$13))))</f>
        <v>N/A</v>
      </c>
      <c r="M365" s="268" t="str">
        <f t="shared" si="16"/>
        <v>N/A</v>
      </c>
      <c r="N365" s="64" t="s">
        <v>883</v>
      </c>
      <c r="O365" s="253"/>
      <c r="P365" s="69"/>
    </row>
    <row r="366" spans="1:16" x14ac:dyDescent="0.3">
      <c r="A366" s="80">
        <v>4.0790000000000264</v>
      </c>
      <c r="B366" s="123" t="s">
        <v>279</v>
      </c>
      <c r="C366" s="59" t="s">
        <v>377</v>
      </c>
      <c r="D366" s="65">
        <v>1253</v>
      </c>
      <c r="E366" s="65">
        <v>1111</v>
      </c>
      <c r="F366" s="59"/>
      <c r="G366" s="59"/>
      <c r="H366" s="87" t="str">
        <f>IF(B366="Projects","N/A",IF(B366="Served","N/A",('Cost Basis'!E$3+('Cost Basis'!C$3*Model!D366))*(1+'Cost Basis'!F$3)))</f>
        <v>N/A</v>
      </c>
      <c r="I366" s="88" t="s">
        <v>403</v>
      </c>
      <c r="J366" s="88" t="s">
        <v>403</v>
      </c>
      <c r="K366" s="61"/>
      <c r="L366" s="62" t="str">
        <f>IF(K366=0,"N/A",(LOOKUP(I366,'Cost Basis'!A$4:A$13,'Cost Basis'!E$4:E$13)+IF(LOOKUP(Model!I366,'Cost Basis'!A$4:A$11)=I366,LOOKUP(Model!I366,'Cost Basis'!A$4:A$11,'Cost Basis'!C$4:C$11)*Model!K366*(1+LOOKUP(I366,'Cost Basis'!A$4:A$13,'Cost Basis'!F$3:F$13)),LOOKUP(Model!I366,'Cost Basis'!A$4:A$13,'Cost Basis'!C$4:C$13)*ROUNDUP(Model!K366/5280/30,0))*(1+LOOKUP(I366,'Cost Basis'!A$4:A$13,'Cost Basis'!F$4:F$13))))</f>
        <v>N/A</v>
      </c>
      <c r="M366" s="268" t="str">
        <f t="shared" si="16"/>
        <v>N/A</v>
      </c>
      <c r="N366" s="64" t="s">
        <v>884</v>
      </c>
      <c r="O366" s="253"/>
      <c r="P366" s="69"/>
    </row>
    <row r="367" spans="1:16" x14ac:dyDescent="0.3">
      <c r="A367" s="80">
        <v>4.0800000000000267</v>
      </c>
      <c r="B367" s="123" t="s">
        <v>279</v>
      </c>
      <c r="C367" s="59" t="s">
        <v>354</v>
      </c>
      <c r="D367" s="65">
        <v>2278</v>
      </c>
      <c r="E367" s="65">
        <v>2104</v>
      </c>
      <c r="F367" s="59"/>
      <c r="G367" s="59"/>
      <c r="H367" s="87" t="str">
        <f>IF(B367="Projects","N/A",IF(B367="Served","N/A",('Cost Basis'!E$3+('Cost Basis'!C$3*Model!D367))*(1+'Cost Basis'!F$3)))</f>
        <v>N/A</v>
      </c>
      <c r="I367" s="88" t="s">
        <v>403</v>
      </c>
      <c r="J367" s="88" t="s">
        <v>403</v>
      </c>
      <c r="K367" s="61"/>
      <c r="L367" s="62" t="str">
        <f>IF(K367=0,"N/A",(LOOKUP(I367,'Cost Basis'!A$4:A$13,'Cost Basis'!E$4:E$13)+IF(LOOKUP(Model!I367,'Cost Basis'!A$4:A$11)=I367,LOOKUP(Model!I367,'Cost Basis'!A$4:A$11,'Cost Basis'!C$4:C$11)*Model!K367*(1+LOOKUP(I367,'Cost Basis'!A$4:A$13,'Cost Basis'!F$3:F$13)),LOOKUP(Model!I367,'Cost Basis'!A$4:A$13,'Cost Basis'!C$4:C$13)*ROUNDUP(Model!K367/5280/30,0))*(1+LOOKUP(I367,'Cost Basis'!A$4:A$13,'Cost Basis'!F$4:F$13))))</f>
        <v>N/A</v>
      </c>
      <c r="M367" s="268" t="str">
        <f t="shared" si="16"/>
        <v>N/A</v>
      </c>
      <c r="N367" s="64" t="s">
        <v>885</v>
      </c>
      <c r="O367" s="253"/>
      <c r="P367" s="69"/>
    </row>
    <row r="368" spans="1:16" x14ac:dyDescent="0.3">
      <c r="A368" s="80">
        <v>4.0810000000000271</v>
      </c>
      <c r="B368" s="123" t="s">
        <v>279</v>
      </c>
      <c r="C368" s="59" t="s">
        <v>355</v>
      </c>
      <c r="D368" s="65">
        <v>1443</v>
      </c>
      <c r="E368" s="65">
        <v>1159</v>
      </c>
      <c r="F368" s="59"/>
      <c r="G368" s="59"/>
      <c r="H368" s="87" t="str">
        <f>IF(B368="Projects","N/A",IF(B368="Served","N/A",('Cost Basis'!E$3+('Cost Basis'!C$3*Model!D368))*(1+'Cost Basis'!F$3)))</f>
        <v>N/A</v>
      </c>
      <c r="I368" s="88" t="s">
        <v>403</v>
      </c>
      <c r="J368" s="88" t="s">
        <v>403</v>
      </c>
      <c r="K368" s="61"/>
      <c r="L368" s="62" t="str">
        <f>IF(K368=0,"N/A",(LOOKUP(I368,'Cost Basis'!A$4:A$13,'Cost Basis'!E$4:E$13)+IF(LOOKUP(Model!I368,'Cost Basis'!A$4:A$11)=I368,LOOKUP(Model!I368,'Cost Basis'!A$4:A$11,'Cost Basis'!C$4:C$11)*Model!K368*(1+LOOKUP(I368,'Cost Basis'!A$4:A$13,'Cost Basis'!F$3:F$13)),LOOKUP(Model!I368,'Cost Basis'!A$4:A$13,'Cost Basis'!C$4:C$13)*ROUNDUP(Model!K368/5280/30,0))*(1+LOOKUP(I368,'Cost Basis'!A$4:A$13,'Cost Basis'!F$4:F$13))))</f>
        <v>N/A</v>
      </c>
      <c r="M368" s="268" t="str">
        <f t="shared" si="16"/>
        <v>N/A</v>
      </c>
      <c r="N368" s="64" t="s">
        <v>886</v>
      </c>
      <c r="O368" s="253"/>
      <c r="P368" s="69"/>
    </row>
    <row r="369" spans="1:16" x14ac:dyDescent="0.3">
      <c r="A369" s="80">
        <v>4.0820000000000274</v>
      </c>
      <c r="B369" s="123" t="s">
        <v>279</v>
      </c>
      <c r="C369" s="59" t="s">
        <v>356</v>
      </c>
      <c r="D369" s="65">
        <v>236</v>
      </c>
      <c r="E369" s="65">
        <v>183</v>
      </c>
      <c r="F369" s="59"/>
      <c r="G369" s="59"/>
      <c r="H369" s="87" t="str">
        <f>IF(B369="Projects","N/A",IF(B369="Served","N/A",('Cost Basis'!E$3+('Cost Basis'!C$3*Model!D369))*(1+'Cost Basis'!F$3)))</f>
        <v>N/A</v>
      </c>
      <c r="I369" s="88" t="s">
        <v>403</v>
      </c>
      <c r="J369" s="88" t="s">
        <v>403</v>
      </c>
      <c r="K369" s="61"/>
      <c r="L369" s="62" t="str">
        <f>IF(K369=0,"N/A",(LOOKUP(I369,'Cost Basis'!A$4:A$13,'Cost Basis'!E$4:E$13)+IF(LOOKUP(Model!I369,'Cost Basis'!A$4:A$11)=I369,LOOKUP(Model!I369,'Cost Basis'!A$4:A$11,'Cost Basis'!C$4:C$11)*Model!K369*(1+LOOKUP(I369,'Cost Basis'!A$4:A$13,'Cost Basis'!F$3:F$13)),LOOKUP(Model!I369,'Cost Basis'!A$4:A$13,'Cost Basis'!C$4:C$13)*ROUNDUP(Model!K369/5280/30,0))*(1+LOOKUP(I369,'Cost Basis'!A$4:A$13,'Cost Basis'!F$4:F$13))))</f>
        <v>N/A</v>
      </c>
      <c r="M369" s="268" t="str">
        <f t="shared" si="16"/>
        <v>N/A</v>
      </c>
      <c r="N369" s="64" t="s">
        <v>887</v>
      </c>
      <c r="O369" s="253"/>
      <c r="P369" s="69"/>
    </row>
    <row r="370" spans="1:16" x14ac:dyDescent="0.3">
      <c r="A370" s="80">
        <v>4.0830000000000277</v>
      </c>
      <c r="B370" s="123" t="s">
        <v>279</v>
      </c>
      <c r="C370" s="59" t="s">
        <v>357</v>
      </c>
      <c r="D370" s="65">
        <v>200</v>
      </c>
      <c r="E370" s="65">
        <v>165</v>
      </c>
      <c r="F370" s="59"/>
      <c r="G370" s="59"/>
      <c r="H370" s="87" t="str">
        <f>IF(B370="Projects","N/A",IF(B370="Served","N/A",('Cost Basis'!E$3+('Cost Basis'!C$3*Model!D370))*(1+'Cost Basis'!F$3)))</f>
        <v>N/A</v>
      </c>
      <c r="I370" s="88" t="s">
        <v>403</v>
      </c>
      <c r="J370" s="88" t="s">
        <v>403</v>
      </c>
      <c r="K370" s="61"/>
      <c r="L370" s="62" t="str">
        <f>IF(K370=0,"N/A",(LOOKUP(I370,'Cost Basis'!A$4:A$13,'Cost Basis'!E$4:E$13)+IF(LOOKUP(Model!I370,'Cost Basis'!A$4:A$11)=I370,LOOKUP(Model!I370,'Cost Basis'!A$4:A$11,'Cost Basis'!C$4:C$11)*Model!K370*(1+LOOKUP(I370,'Cost Basis'!A$4:A$13,'Cost Basis'!F$3:F$13)),LOOKUP(Model!I370,'Cost Basis'!A$4:A$13,'Cost Basis'!C$4:C$13)*ROUNDUP(Model!K370/5280/30,0))*(1+LOOKUP(I370,'Cost Basis'!A$4:A$13,'Cost Basis'!F$4:F$13))))</f>
        <v>N/A</v>
      </c>
      <c r="M370" s="268" t="str">
        <f t="shared" si="16"/>
        <v>N/A</v>
      </c>
      <c r="N370" s="64" t="s">
        <v>888</v>
      </c>
      <c r="O370" s="253"/>
      <c r="P370" s="69"/>
    </row>
    <row r="371" spans="1:16" x14ac:dyDescent="0.3">
      <c r="A371" s="80">
        <v>4.0840000000000281</v>
      </c>
      <c r="B371" s="123" t="s">
        <v>279</v>
      </c>
      <c r="C371" s="59" t="s">
        <v>358</v>
      </c>
      <c r="D371" s="66">
        <v>-20</v>
      </c>
      <c r="E371" s="66"/>
      <c r="F371" s="59"/>
      <c r="G371" s="59"/>
      <c r="H371" s="87" t="str">
        <f>IF(B371="Projects","N/A",IF(B371="Served","N/A",('Cost Basis'!E$3+('Cost Basis'!C$3*Model!D371))*(1+'Cost Basis'!F$3)))</f>
        <v>N/A</v>
      </c>
      <c r="I371" s="88" t="s">
        <v>403</v>
      </c>
      <c r="J371" s="88" t="s">
        <v>403</v>
      </c>
      <c r="K371" s="61"/>
      <c r="L371" s="62" t="str">
        <f>IF(K371=0,"N/A",(LOOKUP(I371,'Cost Basis'!A$4:A$13,'Cost Basis'!E$4:E$13)+IF(LOOKUP(Model!I371,'Cost Basis'!A$4:A$11)=I371,LOOKUP(Model!I371,'Cost Basis'!A$4:A$11,'Cost Basis'!C$4:C$11)*Model!K371*(1+LOOKUP(I371,'Cost Basis'!A$4:A$13,'Cost Basis'!F$3:F$13)),LOOKUP(Model!I371,'Cost Basis'!A$4:A$13,'Cost Basis'!C$4:C$13)*ROUNDUP(Model!K371/5280/30,0))*(1+LOOKUP(I371,'Cost Basis'!A$4:A$13,'Cost Basis'!F$4:F$13))))</f>
        <v>N/A</v>
      </c>
      <c r="M371" s="268" t="str">
        <f t="shared" si="16"/>
        <v>N/A</v>
      </c>
      <c r="N371" s="64" t="s">
        <v>889</v>
      </c>
      <c r="O371" s="253"/>
      <c r="P371" s="69"/>
    </row>
    <row r="372" spans="1:16" x14ac:dyDescent="0.3">
      <c r="A372" s="80">
        <v>4.0850000000000284</v>
      </c>
      <c r="B372" s="123" t="s">
        <v>279</v>
      </c>
      <c r="C372" s="59" t="s">
        <v>359</v>
      </c>
      <c r="D372" s="65">
        <v>0</v>
      </c>
      <c r="E372" s="65">
        <v>0</v>
      </c>
      <c r="F372" s="59"/>
      <c r="G372" s="59"/>
      <c r="H372" s="87" t="str">
        <f>IF(B372="Projects","N/A",IF(B372="Served","N/A",('Cost Basis'!E$3+('Cost Basis'!C$3*Model!D372))*(1+'Cost Basis'!F$3)))</f>
        <v>N/A</v>
      </c>
      <c r="I372" s="88" t="s">
        <v>403</v>
      </c>
      <c r="J372" s="88" t="s">
        <v>403</v>
      </c>
      <c r="K372" s="61"/>
      <c r="L372" s="62" t="str">
        <f>IF(K372=0,"N/A",(LOOKUP(I372,'Cost Basis'!A$4:A$13,'Cost Basis'!E$4:E$13)+IF(LOOKUP(Model!I372,'Cost Basis'!A$4:A$11)=I372,LOOKUP(Model!I372,'Cost Basis'!A$4:A$11,'Cost Basis'!C$4:C$11)*Model!K372*(1+LOOKUP(I372,'Cost Basis'!A$4:A$13,'Cost Basis'!F$3:F$13)),LOOKUP(Model!I372,'Cost Basis'!A$4:A$13,'Cost Basis'!C$4:C$13)*ROUNDUP(Model!K372/5280/30,0))*(1+LOOKUP(I372,'Cost Basis'!A$4:A$13,'Cost Basis'!F$4:F$13))))</f>
        <v>N/A</v>
      </c>
      <c r="M372" s="268" t="str">
        <f t="shared" si="16"/>
        <v>N/A</v>
      </c>
      <c r="N372" s="64" t="s">
        <v>890</v>
      </c>
      <c r="O372" s="253"/>
      <c r="P372" s="69"/>
    </row>
    <row r="373" spans="1:16" x14ac:dyDescent="0.3">
      <c r="A373" s="80">
        <v>4.0860000000000287</v>
      </c>
      <c r="B373" s="123" t="s">
        <v>279</v>
      </c>
      <c r="C373" s="59" t="s">
        <v>360</v>
      </c>
      <c r="D373" s="65" t="s">
        <v>402</v>
      </c>
      <c r="E373" s="65"/>
      <c r="F373" s="59"/>
      <c r="G373" s="59"/>
      <c r="H373" s="87" t="str">
        <f>IF(B373="Projects","N/A",IF(B373="Served","N/A",('Cost Basis'!E$3+('Cost Basis'!C$3*Model!D373))*(1+'Cost Basis'!F$3)))</f>
        <v>N/A</v>
      </c>
      <c r="I373" s="88" t="s">
        <v>403</v>
      </c>
      <c r="J373" s="88" t="s">
        <v>403</v>
      </c>
      <c r="K373" s="61"/>
      <c r="L373" s="62" t="str">
        <f>IF(K373=0,"N/A",(LOOKUP(I373,'Cost Basis'!A$4:A$13,'Cost Basis'!E$4:E$13)+IF(LOOKUP(Model!I373,'Cost Basis'!A$4:A$11)=I373,LOOKUP(Model!I373,'Cost Basis'!A$4:A$11,'Cost Basis'!C$4:C$11)*Model!K373*(1+LOOKUP(I373,'Cost Basis'!A$4:A$13,'Cost Basis'!F$3:F$13)),LOOKUP(Model!I373,'Cost Basis'!A$4:A$13,'Cost Basis'!C$4:C$13)*ROUNDUP(Model!K373/5280/30,0))*(1+LOOKUP(I373,'Cost Basis'!A$4:A$13,'Cost Basis'!F$4:F$13))))</f>
        <v>N/A</v>
      </c>
      <c r="M373" s="268" t="str">
        <f t="shared" si="16"/>
        <v>N/A</v>
      </c>
      <c r="N373" s="64" t="s">
        <v>891</v>
      </c>
      <c r="O373" s="253"/>
      <c r="P373" s="69"/>
    </row>
    <row r="374" spans="1:16" x14ac:dyDescent="0.3">
      <c r="A374" s="80">
        <v>4.0870000000000291</v>
      </c>
      <c r="B374" s="123" t="s">
        <v>279</v>
      </c>
      <c r="C374" s="59" t="s">
        <v>361</v>
      </c>
      <c r="D374" s="65">
        <v>1090</v>
      </c>
      <c r="E374" s="65">
        <v>892</v>
      </c>
      <c r="F374" s="59"/>
      <c r="G374" s="59"/>
      <c r="H374" s="87" t="str">
        <f>IF(B374="Projects","N/A",IF(B374="Served","N/A",('Cost Basis'!E$3+('Cost Basis'!C$3*Model!D374))*(1+'Cost Basis'!F$3)))</f>
        <v>N/A</v>
      </c>
      <c r="I374" s="88" t="s">
        <v>403</v>
      </c>
      <c r="J374" s="88" t="s">
        <v>403</v>
      </c>
      <c r="K374" s="61"/>
      <c r="L374" s="62" t="str">
        <f>IF(K374=0,"N/A",(LOOKUP(I374,'Cost Basis'!A$4:A$13,'Cost Basis'!E$4:E$13)+IF(LOOKUP(Model!I374,'Cost Basis'!A$4:A$11)=I374,LOOKUP(Model!I374,'Cost Basis'!A$4:A$11,'Cost Basis'!C$4:C$11)*Model!K374*(1+LOOKUP(I374,'Cost Basis'!A$4:A$13,'Cost Basis'!F$3:F$13)),LOOKUP(Model!I374,'Cost Basis'!A$4:A$13,'Cost Basis'!C$4:C$13)*ROUNDUP(Model!K374/5280/30,0))*(1+LOOKUP(I374,'Cost Basis'!A$4:A$13,'Cost Basis'!F$4:F$13))))</f>
        <v>N/A</v>
      </c>
      <c r="M374" s="268" t="str">
        <f t="shared" si="16"/>
        <v>N/A</v>
      </c>
      <c r="N374" s="64" t="s">
        <v>892</v>
      </c>
      <c r="O374" s="253"/>
      <c r="P374" s="69"/>
    </row>
    <row r="375" spans="1:16" x14ac:dyDescent="0.3">
      <c r="A375" s="80">
        <v>4.0880000000000294</v>
      </c>
      <c r="B375" s="123" t="s">
        <v>279</v>
      </c>
      <c r="C375" s="59" t="s">
        <v>362</v>
      </c>
      <c r="D375" s="65">
        <v>323</v>
      </c>
      <c r="E375" s="65">
        <v>241</v>
      </c>
      <c r="F375" s="59"/>
      <c r="G375" s="59"/>
      <c r="H375" s="87" t="str">
        <f>IF(B375="Projects","N/A",IF(B375="Served","N/A",('Cost Basis'!E$3+('Cost Basis'!C$3*Model!D375))*(1+'Cost Basis'!F$3)))</f>
        <v>N/A</v>
      </c>
      <c r="I375" s="88" t="s">
        <v>403</v>
      </c>
      <c r="J375" s="88" t="s">
        <v>403</v>
      </c>
      <c r="K375" s="61"/>
      <c r="L375" s="62" t="str">
        <f>IF(K375=0,"N/A",(LOOKUP(I375,'Cost Basis'!A$4:A$13,'Cost Basis'!E$4:E$13)+IF(LOOKUP(Model!I375,'Cost Basis'!A$4:A$11)=I375,LOOKUP(Model!I375,'Cost Basis'!A$4:A$11,'Cost Basis'!C$4:C$11)*Model!K375*(1+LOOKUP(I375,'Cost Basis'!A$4:A$13,'Cost Basis'!F$3:F$13)),LOOKUP(Model!I375,'Cost Basis'!A$4:A$13,'Cost Basis'!C$4:C$13)*ROUNDUP(Model!K375/5280/30,0))*(1+LOOKUP(I375,'Cost Basis'!A$4:A$13,'Cost Basis'!F$4:F$13))))</f>
        <v>N/A</v>
      </c>
      <c r="M375" s="268" t="str">
        <f t="shared" si="16"/>
        <v>N/A</v>
      </c>
      <c r="N375" s="64" t="s">
        <v>893</v>
      </c>
      <c r="O375" s="253"/>
      <c r="P375" s="69"/>
    </row>
    <row r="376" spans="1:16" x14ac:dyDescent="0.3">
      <c r="A376" s="80">
        <v>4.0890000000000297</v>
      </c>
      <c r="B376" s="123" t="s">
        <v>279</v>
      </c>
      <c r="C376" s="59" t="s">
        <v>363</v>
      </c>
      <c r="D376" s="65">
        <v>545</v>
      </c>
      <c r="E376" s="65">
        <v>404</v>
      </c>
      <c r="F376" s="59"/>
      <c r="G376" s="59"/>
      <c r="H376" s="87" t="str">
        <f>IF(B376="Projects","N/A",IF(B376="Served","N/A",('Cost Basis'!E$3+('Cost Basis'!C$3*Model!D376))*(1+'Cost Basis'!F$3)))</f>
        <v>N/A</v>
      </c>
      <c r="I376" s="88" t="s">
        <v>403</v>
      </c>
      <c r="J376" s="88" t="s">
        <v>403</v>
      </c>
      <c r="K376" s="61"/>
      <c r="L376" s="62" t="str">
        <f>IF(K376=0,"N/A",(LOOKUP(I376,'Cost Basis'!A$4:A$13,'Cost Basis'!E$4:E$13)+IF(LOOKUP(Model!I376,'Cost Basis'!A$4:A$11)=I376,LOOKUP(Model!I376,'Cost Basis'!A$4:A$11,'Cost Basis'!C$4:C$11)*Model!K376*(1+LOOKUP(I376,'Cost Basis'!A$4:A$13,'Cost Basis'!F$3:F$13)),LOOKUP(Model!I376,'Cost Basis'!A$4:A$13,'Cost Basis'!C$4:C$13)*ROUNDUP(Model!K376/5280/30,0))*(1+LOOKUP(I376,'Cost Basis'!A$4:A$13,'Cost Basis'!F$4:F$13))))</f>
        <v>N/A</v>
      </c>
      <c r="M376" s="268" t="str">
        <f t="shared" si="16"/>
        <v>N/A</v>
      </c>
      <c r="N376" s="64" t="s">
        <v>894</v>
      </c>
      <c r="O376" s="253"/>
      <c r="P376" s="69"/>
    </row>
    <row r="377" spans="1:16" x14ac:dyDescent="0.3">
      <c r="A377" s="80">
        <v>4.0900000000000301</v>
      </c>
      <c r="B377" s="123" t="s">
        <v>279</v>
      </c>
      <c r="C377" s="59" t="s">
        <v>364</v>
      </c>
      <c r="D377" s="65">
        <v>133</v>
      </c>
      <c r="E377" s="65">
        <v>112</v>
      </c>
      <c r="F377" s="59"/>
      <c r="G377" s="59"/>
      <c r="H377" s="87" t="str">
        <f>IF(B377="Projects","N/A",IF(B377="Served","N/A",('Cost Basis'!E$3+('Cost Basis'!C$3*Model!D377))*(1+'Cost Basis'!F$3)))</f>
        <v>N/A</v>
      </c>
      <c r="I377" s="88" t="s">
        <v>403</v>
      </c>
      <c r="J377" s="88" t="s">
        <v>403</v>
      </c>
      <c r="K377" s="61"/>
      <c r="L377" s="62" t="str">
        <f>IF(K377=0,"N/A",(LOOKUP(I377,'Cost Basis'!A$4:A$13,'Cost Basis'!E$4:E$13)+IF(LOOKUP(Model!I377,'Cost Basis'!A$4:A$11)=I377,LOOKUP(Model!I377,'Cost Basis'!A$4:A$11,'Cost Basis'!C$4:C$11)*Model!K377*(1+LOOKUP(I377,'Cost Basis'!A$4:A$13,'Cost Basis'!F$3:F$13)),LOOKUP(Model!I377,'Cost Basis'!A$4:A$13,'Cost Basis'!C$4:C$13)*ROUNDUP(Model!K377/5280/30,0))*(1+LOOKUP(I377,'Cost Basis'!A$4:A$13,'Cost Basis'!F$4:F$13))))</f>
        <v>N/A</v>
      </c>
      <c r="M377" s="268" t="str">
        <f t="shared" si="16"/>
        <v>N/A</v>
      </c>
      <c r="N377" s="64" t="s">
        <v>895</v>
      </c>
      <c r="O377" s="253"/>
      <c r="P377" s="69"/>
    </row>
    <row r="378" spans="1:16" x14ac:dyDescent="0.3">
      <c r="A378" s="80">
        <v>4.0910000000000304</v>
      </c>
      <c r="B378" s="123" t="s">
        <v>279</v>
      </c>
      <c r="C378" s="59" t="s">
        <v>365</v>
      </c>
      <c r="D378" s="65">
        <v>1207</v>
      </c>
      <c r="E378" s="65">
        <v>926</v>
      </c>
      <c r="F378" s="59"/>
      <c r="G378" s="59"/>
      <c r="H378" s="87" t="str">
        <f>IF(B378="Projects","N/A",IF(B378="Served","N/A",('Cost Basis'!E$3+('Cost Basis'!C$3*Model!D378))*(1+'Cost Basis'!F$3)))</f>
        <v>N/A</v>
      </c>
      <c r="I378" s="88" t="s">
        <v>403</v>
      </c>
      <c r="J378" s="88" t="s">
        <v>403</v>
      </c>
      <c r="K378" s="61"/>
      <c r="L378" s="62" t="str">
        <f>IF(K378=0,"N/A",(LOOKUP(I378,'Cost Basis'!A$4:A$13,'Cost Basis'!E$4:E$13)+IF(LOOKUP(Model!I378,'Cost Basis'!A$4:A$11)=I378,LOOKUP(Model!I378,'Cost Basis'!A$4:A$11,'Cost Basis'!C$4:C$11)*Model!K378*(1+LOOKUP(I378,'Cost Basis'!A$4:A$13,'Cost Basis'!F$3:F$13)),LOOKUP(Model!I378,'Cost Basis'!A$4:A$13,'Cost Basis'!C$4:C$13)*ROUNDUP(Model!K378/5280/30,0))*(1+LOOKUP(I378,'Cost Basis'!A$4:A$13,'Cost Basis'!F$4:F$13))))</f>
        <v>N/A</v>
      </c>
      <c r="M378" s="268" t="str">
        <f t="shared" si="16"/>
        <v>N/A</v>
      </c>
      <c r="N378" s="64" t="s">
        <v>896</v>
      </c>
      <c r="O378" s="253"/>
      <c r="P378" s="69"/>
    </row>
    <row r="379" spans="1:16" x14ac:dyDescent="0.3">
      <c r="A379" s="80">
        <v>4.0920000000000307</v>
      </c>
      <c r="B379" s="123" t="s">
        <v>279</v>
      </c>
      <c r="C379" s="59" t="s">
        <v>366</v>
      </c>
      <c r="D379" s="65">
        <v>108</v>
      </c>
      <c r="E379" s="65">
        <v>79</v>
      </c>
      <c r="F379" s="59"/>
      <c r="G379" s="59"/>
      <c r="H379" s="87" t="str">
        <f>IF(B379="Projects","N/A",IF(B379="Served","N/A",('Cost Basis'!E$3+('Cost Basis'!C$3*Model!D379))*(1+'Cost Basis'!F$3)))</f>
        <v>N/A</v>
      </c>
      <c r="I379" s="88" t="s">
        <v>403</v>
      </c>
      <c r="J379" s="88" t="s">
        <v>403</v>
      </c>
      <c r="K379" s="61"/>
      <c r="L379" s="62" t="str">
        <f>IF(K379=0,"N/A",(LOOKUP(I379,'Cost Basis'!A$4:A$13,'Cost Basis'!E$4:E$13)+IF(LOOKUP(Model!I379,'Cost Basis'!A$4:A$11)=I379,LOOKUP(Model!I379,'Cost Basis'!A$4:A$11,'Cost Basis'!C$4:C$11)*Model!K379*(1+LOOKUP(I379,'Cost Basis'!A$4:A$13,'Cost Basis'!F$3:F$13)),LOOKUP(Model!I379,'Cost Basis'!A$4:A$13,'Cost Basis'!C$4:C$13)*ROUNDUP(Model!K379/5280/30,0))*(1+LOOKUP(I379,'Cost Basis'!A$4:A$13,'Cost Basis'!F$4:F$13))))</f>
        <v>N/A</v>
      </c>
      <c r="M379" s="268" t="str">
        <f t="shared" si="16"/>
        <v>N/A</v>
      </c>
      <c r="N379" s="64" t="s">
        <v>897</v>
      </c>
      <c r="O379" s="253"/>
      <c r="P379" s="69"/>
    </row>
    <row r="380" spans="1:16" x14ac:dyDescent="0.3">
      <c r="A380" s="80">
        <v>4.0930000000000311</v>
      </c>
      <c r="B380" s="123" t="s">
        <v>279</v>
      </c>
      <c r="C380" s="59" t="s">
        <v>367</v>
      </c>
      <c r="D380" s="65">
        <v>4229</v>
      </c>
      <c r="E380" s="65">
        <v>3572</v>
      </c>
      <c r="F380" s="59"/>
      <c r="G380" s="59"/>
      <c r="H380" s="87" t="str">
        <f>IF(B380="Projects","N/A",IF(B380="Served","N/A",('Cost Basis'!E$3+('Cost Basis'!C$3*Model!D380))*(1+'Cost Basis'!F$3)))</f>
        <v>N/A</v>
      </c>
      <c r="I380" s="88" t="s">
        <v>403</v>
      </c>
      <c r="J380" s="88" t="s">
        <v>403</v>
      </c>
      <c r="K380" s="61"/>
      <c r="L380" s="62" t="str">
        <f>IF(K380=0,"N/A",(LOOKUP(I380,'Cost Basis'!A$4:A$13,'Cost Basis'!E$4:E$13)+IF(LOOKUP(Model!I380,'Cost Basis'!A$4:A$11)=I380,LOOKUP(Model!I380,'Cost Basis'!A$4:A$11,'Cost Basis'!C$4:C$11)*Model!K380*(1+LOOKUP(I380,'Cost Basis'!A$4:A$13,'Cost Basis'!F$3:F$13)),LOOKUP(Model!I380,'Cost Basis'!A$4:A$13,'Cost Basis'!C$4:C$13)*ROUNDUP(Model!K380/5280/30,0))*(1+LOOKUP(I380,'Cost Basis'!A$4:A$13,'Cost Basis'!F$4:F$13))))</f>
        <v>N/A</v>
      </c>
      <c r="M380" s="268" t="str">
        <f t="shared" si="16"/>
        <v>N/A</v>
      </c>
      <c r="N380" s="64" t="s">
        <v>898</v>
      </c>
      <c r="O380" s="253"/>
      <c r="P380" s="69"/>
    </row>
    <row r="381" spans="1:16" x14ac:dyDescent="0.3">
      <c r="A381" s="80">
        <v>4.0940000000000314</v>
      </c>
      <c r="B381" s="123" t="s">
        <v>279</v>
      </c>
      <c r="C381" s="59" t="s">
        <v>368</v>
      </c>
      <c r="D381" s="65">
        <v>532</v>
      </c>
      <c r="E381" s="65">
        <v>336</v>
      </c>
      <c r="F381" s="59"/>
      <c r="G381" s="59"/>
      <c r="H381" s="87" t="str">
        <f>IF(B381="Projects","N/A",IF(B381="Served","N/A",('Cost Basis'!E$3+('Cost Basis'!C$3*Model!D381))*(1+'Cost Basis'!F$3)))</f>
        <v>N/A</v>
      </c>
      <c r="I381" s="88" t="s">
        <v>403</v>
      </c>
      <c r="J381" s="88" t="s">
        <v>403</v>
      </c>
      <c r="K381" s="61"/>
      <c r="L381" s="62" t="str">
        <f>IF(K381=0,"N/A",(LOOKUP(I381,'Cost Basis'!A$4:A$13,'Cost Basis'!E$4:E$13)+IF(LOOKUP(Model!I381,'Cost Basis'!A$4:A$11)=I381,LOOKUP(Model!I381,'Cost Basis'!A$4:A$11,'Cost Basis'!C$4:C$11)*Model!K381*(1+LOOKUP(I381,'Cost Basis'!A$4:A$13,'Cost Basis'!F$3:F$13)),LOOKUP(Model!I381,'Cost Basis'!A$4:A$13,'Cost Basis'!C$4:C$13)*ROUNDUP(Model!K381/5280/30,0))*(1+LOOKUP(I381,'Cost Basis'!A$4:A$13,'Cost Basis'!F$4:F$13))))</f>
        <v>N/A</v>
      </c>
      <c r="M381" s="268" t="str">
        <f t="shared" si="16"/>
        <v>N/A</v>
      </c>
      <c r="N381" s="64" t="s">
        <v>899</v>
      </c>
      <c r="O381" s="253"/>
      <c r="P381" s="69"/>
    </row>
    <row r="382" spans="1:16" x14ac:dyDescent="0.3">
      <c r="A382" s="80">
        <v>4.0950000000000317</v>
      </c>
      <c r="B382" s="123" t="s">
        <v>279</v>
      </c>
      <c r="C382" s="59" t="s">
        <v>369</v>
      </c>
      <c r="D382" s="65">
        <v>2198</v>
      </c>
      <c r="E382" s="65">
        <v>1883</v>
      </c>
      <c r="F382" s="59"/>
      <c r="G382" s="59"/>
      <c r="H382" s="87" t="str">
        <f>IF(B382="Projects","N/A",IF(B382="Served","N/A",('Cost Basis'!E$3+('Cost Basis'!C$3*Model!D382))*(1+'Cost Basis'!F$3)))</f>
        <v>N/A</v>
      </c>
      <c r="I382" s="88" t="s">
        <v>403</v>
      </c>
      <c r="J382" s="88" t="s">
        <v>403</v>
      </c>
      <c r="K382" s="61"/>
      <c r="L382" s="62" t="str">
        <f>IF(K382=0,"N/A",(LOOKUP(I382,'Cost Basis'!A$4:A$13,'Cost Basis'!E$4:E$13)+IF(LOOKUP(Model!I382,'Cost Basis'!A$4:A$11)=I382,LOOKUP(Model!I382,'Cost Basis'!A$4:A$11,'Cost Basis'!C$4:C$11)*Model!K382*(1+LOOKUP(I382,'Cost Basis'!A$4:A$13,'Cost Basis'!F$3:F$13)),LOOKUP(Model!I382,'Cost Basis'!A$4:A$13,'Cost Basis'!C$4:C$13)*ROUNDUP(Model!K382/5280/30,0))*(1+LOOKUP(I382,'Cost Basis'!A$4:A$13,'Cost Basis'!F$4:F$13))))</f>
        <v>N/A</v>
      </c>
      <c r="M382" s="268" t="str">
        <f t="shared" si="16"/>
        <v>N/A</v>
      </c>
      <c r="N382" s="64" t="s">
        <v>900</v>
      </c>
      <c r="O382" s="253"/>
      <c r="P382" s="69"/>
    </row>
    <row r="383" spans="1:16" x14ac:dyDescent="0.3">
      <c r="A383" s="80">
        <v>4.0960000000000321</v>
      </c>
      <c r="B383" s="123" t="s">
        <v>279</v>
      </c>
      <c r="C383" s="59" t="s">
        <v>370</v>
      </c>
      <c r="D383" s="65">
        <v>1863</v>
      </c>
      <c r="E383" s="65">
        <v>1736</v>
      </c>
      <c r="F383" s="59"/>
      <c r="G383" s="59"/>
      <c r="H383" s="87" t="str">
        <f>IF(B383="Projects","N/A",IF(B383="Served","N/A",('Cost Basis'!E$3+('Cost Basis'!C$3*Model!D383))*(1+'Cost Basis'!F$3)))</f>
        <v>N/A</v>
      </c>
      <c r="I383" s="88" t="s">
        <v>403</v>
      </c>
      <c r="J383" s="88" t="s">
        <v>403</v>
      </c>
      <c r="K383" s="61"/>
      <c r="L383" s="62" t="str">
        <f>IF(K383=0,"N/A",(LOOKUP(I383,'Cost Basis'!A$4:A$13,'Cost Basis'!E$4:E$13)+IF(LOOKUP(Model!I383,'Cost Basis'!A$4:A$11)=I383,LOOKUP(Model!I383,'Cost Basis'!A$4:A$11,'Cost Basis'!C$4:C$11)*Model!K383*(1+LOOKUP(I383,'Cost Basis'!A$4:A$13,'Cost Basis'!F$3:F$13)),LOOKUP(Model!I383,'Cost Basis'!A$4:A$13,'Cost Basis'!C$4:C$13)*ROUNDUP(Model!K383/5280/30,0))*(1+LOOKUP(I383,'Cost Basis'!A$4:A$13,'Cost Basis'!F$4:F$13))))</f>
        <v>N/A</v>
      </c>
      <c r="M383" s="268" t="str">
        <f t="shared" si="16"/>
        <v>N/A</v>
      </c>
      <c r="N383" s="64" t="s">
        <v>901</v>
      </c>
      <c r="O383" s="253"/>
      <c r="P383" s="69"/>
    </row>
    <row r="384" spans="1:16" x14ac:dyDescent="0.3">
      <c r="A384" s="80">
        <v>4.0970000000000324</v>
      </c>
      <c r="B384" s="123" t="s">
        <v>279</v>
      </c>
      <c r="C384" s="59" t="s">
        <v>372</v>
      </c>
      <c r="D384" s="65">
        <v>174</v>
      </c>
      <c r="E384" s="65">
        <v>128</v>
      </c>
      <c r="F384" s="59"/>
      <c r="G384" s="59"/>
      <c r="H384" s="87" t="str">
        <f>IF(B384="Projects","N/A",IF(B384="Served","N/A",('Cost Basis'!E$3+('Cost Basis'!C$3*Model!D384))*(1+'Cost Basis'!F$3)))</f>
        <v>N/A</v>
      </c>
      <c r="I384" s="88" t="s">
        <v>403</v>
      </c>
      <c r="J384" s="88" t="s">
        <v>403</v>
      </c>
      <c r="K384" s="61"/>
      <c r="L384" s="62" t="str">
        <f>IF(K384=0,"N/A",(LOOKUP(I384,'Cost Basis'!A$4:A$13,'Cost Basis'!E$4:E$13)+IF(LOOKUP(Model!I384,'Cost Basis'!A$4:A$11)=I384,LOOKUP(Model!I384,'Cost Basis'!A$4:A$11,'Cost Basis'!C$4:C$11)*Model!K384*(1+LOOKUP(I384,'Cost Basis'!A$4:A$13,'Cost Basis'!F$3:F$13)),LOOKUP(Model!I384,'Cost Basis'!A$4:A$13,'Cost Basis'!C$4:C$13)*ROUNDUP(Model!K384/5280/30,0))*(1+LOOKUP(I384,'Cost Basis'!A$4:A$13,'Cost Basis'!F$4:F$13))))</f>
        <v>N/A</v>
      </c>
      <c r="M384" s="268" t="str">
        <f t="shared" si="16"/>
        <v>N/A</v>
      </c>
      <c r="N384" s="64" t="s">
        <v>902</v>
      </c>
      <c r="O384" s="253"/>
      <c r="P384" s="69"/>
    </row>
    <row r="385" spans="1:16" x14ac:dyDescent="0.3">
      <c r="A385" s="80">
        <v>4.0980000000000327</v>
      </c>
      <c r="B385" s="123" t="s">
        <v>279</v>
      </c>
      <c r="C385" s="59" t="s">
        <v>371</v>
      </c>
      <c r="D385" s="65">
        <v>2862</v>
      </c>
      <c r="E385" s="65">
        <v>2506</v>
      </c>
      <c r="F385" s="59"/>
      <c r="G385" s="59"/>
      <c r="H385" s="87" t="str">
        <f>IF(B385="Projects","N/A",IF(B385="Served","N/A",('Cost Basis'!E$3+('Cost Basis'!C$3*Model!D385))*(1+'Cost Basis'!F$3)))</f>
        <v>N/A</v>
      </c>
      <c r="I385" s="88" t="s">
        <v>403</v>
      </c>
      <c r="J385" s="88" t="s">
        <v>403</v>
      </c>
      <c r="K385" s="61"/>
      <c r="L385" s="62" t="str">
        <f>IF(K385=0,"N/A",(LOOKUP(I385,'Cost Basis'!A$4:A$13,'Cost Basis'!E$4:E$13)+IF(LOOKUP(Model!I385,'Cost Basis'!A$4:A$11)=I385,LOOKUP(Model!I385,'Cost Basis'!A$4:A$11,'Cost Basis'!C$4:C$11)*Model!K385*(1+LOOKUP(I385,'Cost Basis'!A$4:A$13,'Cost Basis'!F$3:F$13)),LOOKUP(Model!I385,'Cost Basis'!A$4:A$13,'Cost Basis'!C$4:C$13)*ROUNDUP(Model!K385/5280/30,0))*(1+LOOKUP(I385,'Cost Basis'!A$4:A$13,'Cost Basis'!F$4:F$13))))</f>
        <v>N/A</v>
      </c>
      <c r="M385" s="268" t="str">
        <f t="shared" si="16"/>
        <v>N/A</v>
      </c>
      <c r="N385" s="64" t="s">
        <v>903</v>
      </c>
      <c r="O385" s="253"/>
      <c r="P385" s="69"/>
    </row>
    <row r="386" spans="1:16" x14ac:dyDescent="0.3">
      <c r="A386" s="80">
        <v>4.0990000000000331</v>
      </c>
      <c r="B386" s="123" t="s">
        <v>279</v>
      </c>
      <c r="C386" s="59" t="s">
        <v>373</v>
      </c>
      <c r="D386" s="65">
        <v>3519</v>
      </c>
      <c r="E386" s="65">
        <v>2063</v>
      </c>
      <c r="F386" s="59"/>
      <c r="G386" s="59"/>
      <c r="H386" s="87" t="str">
        <f>IF(B386="Projects","N/A",IF(B386="Served","N/A",('Cost Basis'!E$3+('Cost Basis'!C$3*Model!D386))*(1+'Cost Basis'!F$3)))</f>
        <v>N/A</v>
      </c>
      <c r="I386" s="88" t="s">
        <v>403</v>
      </c>
      <c r="J386" s="88" t="s">
        <v>403</v>
      </c>
      <c r="K386" s="61"/>
      <c r="L386" s="62" t="str">
        <f>IF(K386=0,"N/A",(LOOKUP(I386,'Cost Basis'!A$4:A$13,'Cost Basis'!E$4:E$13)+IF(LOOKUP(Model!I386,'Cost Basis'!A$4:A$11)=I386,LOOKUP(Model!I386,'Cost Basis'!A$4:A$11,'Cost Basis'!C$4:C$11)*Model!K386*(1+LOOKUP(I386,'Cost Basis'!A$4:A$13,'Cost Basis'!F$3:F$13)),LOOKUP(Model!I386,'Cost Basis'!A$4:A$13,'Cost Basis'!C$4:C$13)*ROUNDUP(Model!K386/5280/30,0))*(1+LOOKUP(I386,'Cost Basis'!A$4:A$13,'Cost Basis'!F$4:F$13))))</f>
        <v>N/A</v>
      </c>
      <c r="M386" s="268" t="str">
        <f t="shared" ref="M386:M401" si="17">IF(L386="N/A",H386,H386+L386)</f>
        <v>N/A</v>
      </c>
      <c r="N386" s="64" t="s">
        <v>904</v>
      </c>
      <c r="O386" s="253"/>
      <c r="P386" s="69"/>
    </row>
    <row r="387" spans="1:16" x14ac:dyDescent="0.3">
      <c r="A387" s="80">
        <v>4.1000000000000334</v>
      </c>
      <c r="B387" s="123" t="s">
        <v>279</v>
      </c>
      <c r="C387" s="59" t="s">
        <v>375</v>
      </c>
      <c r="D387" s="65">
        <v>123</v>
      </c>
      <c r="E387" s="65">
        <v>0</v>
      </c>
      <c r="F387" s="59"/>
      <c r="G387" s="59"/>
      <c r="H387" s="87" t="str">
        <f>IF(B387="Projects","N/A",IF(B387="Served","N/A",('Cost Basis'!E$3+('Cost Basis'!C$3*Model!D387))*(1+'Cost Basis'!F$3)))</f>
        <v>N/A</v>
      </c>
      <c r="I387" s="88" t="s">
        <v>403</v>
      </c>
      <c r="J387" s="88" t="s">
        <v>403</v>
      </c>
      <c r="K387" s="61"/>
      <c r="L387" s="62" t="str">
        <f>IF(K387=0,"N/A",(LOOKUP(I387,'Cost Basis'!A$4:A$13,'Cost Basis'!E$4:E$13)+IF(LOOKUP(Model!I387,'Cost Basis'!A$4:A$11)=I387,LOOKUP(Model!I387,'Cost Basis'!A$4:A$11,'Cost Basis'!C$4:C$11)*Model!K387*(1+LOOKUP(I387,'Cost Basis'!A$4:A$13,'Cost Basis'!F$3:F$13)),LOOKUP(Model!I387,'Cost Basis'!A$4:A$13,'Cost Basis'!C$4:C$13)*ROUNDUP(Model!K387/5280/30,0))*(1+LOOKUP(I387,'Cost Basis'!A$4:A$13,'Cost Basis'!F$4:F$13))))</f>
        <v>N/A</v>
      </c>
      <c r="M387" s="268" t="str">
        <f t="shared" si="17"/>
        <v>N/A</v>
      </c>
      <c r="N387" s="64" t="s">
        <v>905</v>
      </c>
      <c r="O387" s="253"/>
      <c r="P387" s="69"/>
    </row>
    <row r="388" spans="1:16" x14ac:dyDescent="0.3">
      <c r="A388" s="80">
        <v>4.1010000000000337</v>
      </c>
      <c r="B388" s="123" t="s">
        <v>279</v>
      </c>
      <c r="C388" s="59" t="s">
        <v>378</v>
      </c>
      <c r="D388" s="65">
        <v>441</v>
      </c>
      <c r="E388" s="65">
        <v>343</v>
      </c>
      <c r="F388" s="59"/>
      <c r="G388" s="59"/>
      <c r="H388" s="87" t="str">
        <f>IF(B388="Projects","N/A",IF(B388="Served","N/A",('Cost Basis'!E$3+('Cost Basis'!C$3*Model!D388))*(1+'Cost Basis'!F$3)))</f>
        <v>N/A</v>
      </c>
      <c r="I388" s="88" t="s">
        <v>403</v>
      </c>
      <c r="J388" s="88" t="s">
        <v>403</v>
      </c>
      <c r="K388" s="61"/>
      <c r="L388" s="62" t="str">
        <f>IF(K388=0,"N/A",(LOOKUP(I388,'Cost Basis'!A$4:A$13,'Cost Basis'!E$4:E$13)+IF(LOOKUP(Model!I388,'Cost Basis'!A$4:A$11)=I388,LOOKUP(Model!I388,'Cost Basis'!A$4:A$11,'Cost Basis'!C$4:C$11)*Model!K388*(1+LOOKUP(I388,'Cost Basis'!A$4:A$13,'Cost Basis'!F$3:F$13)),LOOKUP(Model!I388,'Cost Basis'!A$4:A$13,'Cost Basis'!C$4:C$13)*ROUNDUP(Model!K388/5280/30,0))*(1+LOOKUP(I388,'Cost Basis'!A$4:A$13,'Cost Basis'!F$4:F$13))))</f>
        <v>N/A</v>
      </c>
      <c r="M388" s="268" t="str">
        <f t="shared" si="17"/>
        <v>N/A</v>
      </c>
      <c r="N388" s="64" t="s">
        <v>906</v>
      </c>
      <c r="O388" s="253"/>
      <c r="P388" s="69"/>
    </row>
    <row r="389" spans="1:16" x14ac:dyDescent="0.3">
      <c r="A389" s="80">
        <v>4.1020000000000341</v>
      </c>
      <c r="B389" s="123" t="s">
        <v>279</v>
      </c>
      <c r="C389" s="59" t="s">
        <v>379</v>
      </c>
      <c r="D389" s="65">
        <v>754</v>
      </c>
      <c r="E389" s="65">
        <v>384</v>
      </c>
      <c r="F389" s="59"/>
      <c r="G389" s="59"/>
      <c r="H389" s="87" t="str">
        <f>IF(B389="Projects","N/A",IF(B389="Served","N/A",('Cost Basis'!E$3+('Cost Basis'!C$3*Model!D389))*(1+'Cost Basis'!F$3)))</f>
        <v>N/A</v>
      </c>
      <c r="I389" s="88" t="s">
        <v>403</v>
      </c>
      <c r="J389" s="88" t="s">
        <v>403</v>
      </c>
      <c r="K389" s="61"/>
      <c r="L389" s="62" t="str">
        <f>IF(K389=0,"N/A",(LOOKUP(I389,'Cost Basis'!A$4:A$13,'Cost Basis'!E$4:E$13)+IF(LOOKUP(Model!I389,'Cost Basis'!A$4:A$11)=I389,LOOKUP(Model!I389,'Cost Basis'!A$4:A$11,'Cost Basis'!C$4:C$11)*Model!K389*(1+LOOKUP(I389,'Cost Basis'!A$4:A$13,'Cost Basis'!F$3:F$13)),LOOKUP(Model!I389,'Cost Basis'!A$4:A$13,'Cost Basis'!C$4:C$13)*ROUNDUP(Model!K389/5280/30,0))*(1+LOOKUP(I389,'Cost Basis'!A$4:A$13,'Cost Basis'!F$4:F$13))))</f>
        <v>N/A</v>
      </c>
      <c r="M389" s="268" t="str">
        <f t="shared" si="17"/>
        <v>N/A</v>
      </c>
      <c r="N389" s="64" t="s">
        <v>907</v>
      </c>
      <c r="O389" s="253"/>
      <c r="P389" s="69"/>
    </row>
    <row r="390" spans="1:16" x14ac:dyDescent="0.3">
      <c r="A390" s="80">
        <v>4.1030000000000344</v>
      </c>
      <c r="B390" s="123" t="s">
        <v>279</v>
      </c>
      <c r="C390" s="59" t="s">
        <v>380</v>
      </c>
      <c r="D390" s="65">
        <v>2917</v>
      </c>
      <c r="E390" s="65">
        <v>2729</v>
      </c>
      <c r="F390" s="59"/>
      <c r="G390" s="59"/>
      <c r="H390" s="87" t="str">
        <f>IF(B390="Projects","N/A",IF(B390="Served","N/A",('Cost Basis'!E$3+('Cost Basis'!C$3*Model!D390))*(1+'Cost Basis'!F$3)))</f>
        <v>N/A</v>
      </c>
      <c r="I390" s="88" t="s">
        <v>403</v>
      </c>
      <c r="J390" s="88" t="s">
        <v>403</v>
      </c>
      <c r="K390" s="61"/>
      <c r="L390" s="62" t="str">
        <f>IF(K390=0,"N/A",(LOOKUP(I390,'Cost Basis'!A$4:A$13,'Cost Basis'!E$4:E$13)+IF(LOOKUP(Model!I390,'Cost Basis'!A$4:A$11)=I390,LOOKUP(Model!I390,'Cost Basis'!A$4:A$11,'Cost Basis'!C$4:C$11)*Model!K390*(1+LOOKUP(I390,'Cost Basis'!A$4:A$13,'Cost Basis'!F$3:F$13)),LOOKUP(Model!I390,'Cost Basis'!A$4:A$13,'Cost Basis'!C$4:C$13)*ROUNDUP(Model!K390/5280/30,0))*(1+LOOKUP(I390,'Cost Basis'!A$4:A$13,'Cost Basis'!F$4:F$13))))</f>
        <v>N/A</v>
      </c>
      <c r="M390" s="268" t="str">
        <f t="shared" si="17"/>
        <v>N/A</v>
      </c>
      <c r="N390" s="64" t="s">
        <v>908</v>
      </c>
      <c r="O390" s="253"/>
      <c r="P390" s="69"/>
    </row>
    <row r="391" spans="1:16" x14ac:dyDescent="0.3">
      <c r="A391" s="80">
        <v>4.1040000000000347</v>
      </c>
      <c r="B391" s="123" t="s">
        <v>279</v>
      </c>
      <c r="C391" s="59" t="s">
        <v>381</v>
      </c>
      <c r="D391" s="65">
        <v>262</v>
      </c>
      <c r="E391" s="65">
        <v>193</v>
      </c>
      <c r="F391" s="59"/>
      <c r="G391" s="59"/>
      <c r="H391" s="87" t="str">
        <f>IF(B391="Projects","N/A",IF(B391="Served","N/A",('Cost Basis'!E$3+('Cost Basis'!C$3*Model!D391))*(1+'Cost Basis'!F$3)))</f>
        <v>N/A</v>
      </c>
      <c r="I391" s="88" t="s">
        <v>403</v>
      </c>
      <c r="J391" s="88" t="s">
        <v>403</v>
      </c>
      <c r="K391" s="61"/>
      <c r="L391" s="62" t="str">
        <f>IF(K391=0,"N/A",(LOOKUP(I391,'Cost Basis'!A$4:A$13,'Cost Basis'!E$4:E$13)+IF(LOOKUP(Model!I391,'Cost Basis'!A$4:A$11)=I391,LOOKUP(Model!I391,'Cost Basis'!A$4:A$11,'Cost Basis'!C$4:C$11)*Model!K391*(1+LOOKUP(I391,'Cost Basis'!A$4:A$13,'Cost Basis'!F$3:F$13)),LOOKUP(Model!I391,'Cost Basis'!A$4:A$13,'Cost Basis'!C$4:C$13)*ROUNDUP(Model!K391/5280/30,0))*(1+LOOKUP(I391,'Cost Basis'!A$4:A$13,'Cost Basis'!F$4:F$13))))</f>
        <v>N/A</v>
      </c>
      <c r="M391" s="268" t="str">
        <f t="shared" si="17"/>
        <v>N/A</v>
      </c>
      <c r="N391" s="64" t="s">
        <v>909</v>
      </c>
      <c r="O391" s="253"/>
      <c r="P391" s="69"/>
    </row>
    <row r="392" spans="1:16" x14ac:dyDescent="0.3">
      <c r="A392" s="80">
        <v>4.1050000000000351</v>
      </c>
      <c r="B392" s="123" t="s">
        <v>279</v>
      </c>
      <c r="C392" s="59" t="s">
        <v>383</v>
      </c>
      <c r="D392" s="65">
        <v>777</v>
      </c>
      <c r="E392" s="65">
        <v>536</v>
      </c>
      <c r="F392" s="59"/>
      <c r="G392" s="59"/>
      <c r="H392" s="87" t="str">
        <f>IF(B392="Projects","N/A",IF(B392="Served","N/A",('Cost Basis'!E$3+('Cost Basis'!C$3*Model!D392))*(1+'Cost Basis'!F$3)))</f>
        <v>N/A</v>
      </c>
      <c r="I392" s="88" t="s">
        <v>403</v>
      </c>
      <c r="J392" s="88" t="s">
        <v>403</v>
      </c>
      <c r="K392" s="61"/>
      <c r="L392" s="62" t="str">
        <f>IF(K392=0,"N/A",(LOOKUP(I392,'Cost Basis'!A$4:A$13,'Cost Basis'!E$4:E$13)+IF(LOOKUP(Model!I392,'Cost Basis'!A$4:A$11)=I392,LOOKUP(Model!I392,'Cost Basis'!A$4:A$11,'Cost Basis'!C$4:C$11)*Model!K392*(1+LOOKUP(I392,'Cost Basis'!A$4:A$13,'Cost Basis'!F$3:F$13)),LOOKUP(Model!I392,'Cost Basis'!A$4:A$13,'Cost Basis'!C$4:C$13)*ROUNDUP(Model!K392/5280/30,0))*(1+LOOKUP(I392,'Cost Basis'!A$4:A$13,'Cost Basis'!F$4:F$13))))</f>
        <v>N/A</v>
      </c>
      <c r="M392" s="268" t="str">
        <f t="shared" si="17"/>
        <v>N/A</v>
      </c>
      <c r="N392" s="64" t="s">
        <v>910</v>
      </c>
      <c r="O392" s="253"/>
      <c r="P392" s="69"/>
    </row>
    <row r="393" spans="1:16" x14ac:dyDescent="0.3">
      <c r="A393" s="80">
        <v>4.1060000000000354</v>
      </c>
      <c r="B393" s="123" t="s">
        <v>279</v>
      </c>
      <c r="C393" s="59" t="s">
        <v>384</v>
      </c>
      <c r="D393" s="65">
        <v>60</v>
      </c>
      <c r="E393" s="65">
        <v>20</v>
      </c>
      <c r="F393" s="59"/>
      <c r="G393" s="59"/>
      <c r="H393" s="87" t="str">
        <f>IF(B393="Projects","N/A",IF(B393="Served","N/A",('Cost Basis'!E$3+('Cost Basis'!C$3*Model!D393))*(1+'Cost Basis'!F$3)))</f>
        <v>N/A</v>
      </c>
      <c r="I393" s="88" t="s">
        <v>403</v>
      </c>
      <c r="J393" s="88" t="s">
        <v>403</v>
      </c>
      <c r="K393" s="61"/>
      <c r="L393" s="62" t="str">
        <f>IF(K393=0,"N/A",(LOOKUP(I393,'Cost Basis'!A$4:A$13,'Cost Basis'!E$4:E$13)+IF(LOOKUP(Model!I393,'Cost Basis'!A$4:A$11)=I393,LOOKUP(Model!I393,'Cost Basis'!A$4:A$11,'Cost Basis'!C$4:C$11)*Model!K393*(1+LOOKUP(I393,'Cost Basis'!A$4:A$13,'Cost Basis'!F$3:F$13)),LOOKUP(Model!I393,'Cost Basis'!A$4:A$13,'Cost Basis'!C$4:C$13)*ROUNDUP(Model!K393/5280/30,0))*(1+LOOKUP(I393,'Cost Basis'!A$4:A$13,'Cost Basis'!F$4:F$13))))</f>
        <v>N/A</v>
      </c>
      <c r="M393" s="268" t="str">
        <f t="shared" si="17"/>
        <v>N/A</v>
      </c>
      <c r="N393" s="64" t="s">
        <v>911</v>
      </c>
      <c r="O393" s="253"/>
      <c r="P393" s="69"/>
    </row>
    <row r="394" spans="1:16" x14ac:dyDescent="0.3">
      <c r="A394" s="80">
        <v>4.1070000000000357</v>
      </c>
      <c r="B394" s="123" t="s">
        <v>279</v>
      </c>
      <c r="C394" s="59" t="s">
        <v>382</v>
      </c>
      <c r="D394" s="65">
        <v>426</v>
      </c>
      <c r="E394" s="65">
        <v>317</v>
      </c>
      <c r="F394" s="59"/>
      <c r="G394" s="59"/>
      <c r="H394" s="87" t="str">
        <f>IF(B394="Projects","N/A",IF(B394="Served","N/A",('Cost Basis'!E$3+('Cost Basis'!C$3*Model!D394))*(1+'Cost Basis'!F$3)))</f>
        <v>N/A</v>
      </c>
      <c r="I394" s="88" t="s">
        <v>403</v>
      </c>
      <c r="J394" s="88" t="s">
        <v>403</v>
      </c>
      <c r="K394" s="61"/>
      <c r="L394" s="62" t="str">
        <f>IF(K394=0,"N/A",(LOOKUP(I394,'Cost Basis'!A$4:A$13,'Cost Basis'!E$4:E$13)+IF(LOOKUP(Model!I394,'Cost Basis'!A$4:A$11)=I394,LOOKUP(Model!I394,'Cost Basis'!A$4:A$11,'Cost Basis'!C$4:C$11)*Model!K394*(1+LOOKUP(I394,'Cost Basis'!A$4:A$13,'Cost Basis'!F$3:F$13)),LOOKUP(Model!I394,'Cost Basis'!A$4:A$13,'Cost Basis'!C$4:C$13)*ROUNDUP(Model!K394/5280/30,0))*(1+LOOKUP(I394,'Cost Basis'!A$4:A$13,'Cost Basis'!F$4:F$13))))</f>
        <v>N/A</v>
      </c>
      <c r="M394" s="268" t="str">
        <f t="shared" si="17"/>
        <v>N/A</v>
      </c>
      <c r="N394" s="64" t="s">
        <v>912</v>
      </c>
      <c r="O394" s="253"/>
      <c r="P394" s="69"/>
    </row>
    <row r="395" spans="1:16" x14ac:dyDescent="0.3">
      <c r="A395" s="80">
        <v>4.1080000000000361</v>
      </c>
      <c r="B395" s="123" t="s">
        <v>279</v>
      </c>
      <c r="C395" s="59" t="s">
        <v>385</v>
      </c>
      <c r="D395" s="65">
        <v>1691</v>
      </c>
      <c r="E395" s="65">
        <v>1360</v>
      </c>
      <c r="F395" s="59"/>
      <c r="G395" s="59"/>
      <c r="H395" s="87" t="str">
        <f>IF(B395="Projects","N/A",IF(B395="Served","N/A",('Cost Basis'!E$3+('Cost Basis'!C$3*Model!D395))*(1+'Cost Basis'!F$3)))</f>
        <v>N/A</v>
      </c>
      <c r="I395" s="88" t="s">
        <v>403</v>
      </c>
      <c r="J395" s="88" t="s">
        <v>403</v>
      </c>
      <c r="K395" s="61"/>
      <c r="L395" s="62" t="str">
        <f>IF(K395=0,"N/A",(LOOKUP(I395,'Cost Basis'!A$4:A$13,'Cost Basis'!E$4:E$13)+IF(LOOKUP(Model!I395,'Cost Basis'!A$4:A$11)=I395,LOOKUP(Model!I395,'Cost Basis'!A$4:A$11,'Cost Basis'!C$4:C$11)*Model!K395*(1+LOOKUP(I395,'Cost Basis'!A$4:A$13,'Cost Basis'!F$3:F$13)),LOOKUP(Model!I395,'Cost Basis'!A$4:A$13,'Cost Basis'!C$4:C$13)*ROUNDUP(Model!K395/5280/30,0))*(1+LOOKUP(I395,'Cost Basis'!A$4:A$13,'Cost Basis'!F$4:F$13))))</f>
        <v>N/A</v>
      </c>
      <c r="M395" s="268" t="str">
        <f t="shared" si="17"/>
        <v>N/A</v>
      </c>
      <c r="N395" s="64" t="s">
        <v>913</v>
      </c>
      <c r="O395" s="253"/>
      <c r="P395" s="69"/>
    </row>
    <row r="396" spans="1:16" x14ac:dyDescent="0.3">
      <c r="A396" s="80">
        <v>4.1090000000000364</v>
      </c>
      <c r="B396" s="123" t="s">
        <v>279</v>
      </c>
      <c r="C396" s="59" t="s">
        <v>386</v>
      </c>
      <c r="D396" s="65">
        <v>1778</v>
      </c>
      <c r="E396" s="65">
        <v>1519</v>
      </c>
      <c r="F396" s="59"/>
      <c r="G396" s="59"/>
      <c r="H396" s="87" t="str">
        <f>IF(B396="Projects","N/A",IF(B396="Served","N/A",('Cost Basis'!E$3+('Cost Basis'!C$3*Model!D396))*(1+'Cost Basis'!F$3)))</f>
        <v>N/A</v>
      </c>
      <c r="I396" s="88" t="s">
        <v>403</v>
      </c>
      <c r="J396" s="88" t="s">
        <v>403</v>
      </c>
      <c r="K396" s="61"/>
      <c r="L396" s="62" t="str">
        <f>IF(K396=0,"N/A",(LOOKUP(I396,'Cost Basis'!A$4:A$13,'Cost Basis'!E$4:E$13)+IF(LOOKUP(Model!I396,'Cost Basis'!A$4:A$11)=I396,LOOKUP(Model!I396,'Cost Basis'!A$4:A$11,'Cost Basis'!C$4:C$11)*Model!K396*(1+LOOKUP(I396,'Cost Basis'!A$4:A$13,'Cost Basis'!F$3:F$13)),LOOKUP(Model!I396,'Cost Basis'!A$4:A$13,'Cost Basis'!C$4:C$13)*ROUNDUP(Model!K396/5280/30,0))*(1+LOOKUP(I396,'Cost Basis'!A$4:A$13,'Cost Basis'!F$4:F$13))))</f>
        <v>N/A</v>
      </c>
      <c r="M396" s="268" t="str">
        <f t="shared" si="17"/>
        <v>N/A</v>
      </c>
      <c r="N396" s="64" t="s">
        <v>914</v>
      </c>
      <c r="O396" s="253"/>
      <c r="P396" s="69"/>
    </row>
    <row r="397" spans="1:16" x14ac:dyDescent="0.3">
      <c r="A397" s="80">
        <v>4.1100000000000367</v>
      </c>
      <c r="B397" s="123" t="s">
        <v>279</v>
      </c>
      <c r="C397" s="59" t="s">
        <v>387</v>
      </c>
      <c r="D397" s="65">
        <v>153</v>
      </c>
      <c r="E397" s="65">
        <v>126</v>
      </c>
      <c r="F397" s="59"/>
      <c r="G397" s="59"/>
      <c r="H397" s="87" t="str">
        <f>IF(B397="Projects","N/A",IF(B397="Served","N/A",('Cost Basis'!E$3+('Cost Basis'!C$3*Model!D397))*(1+'Cost Basis'!F$3)))</f>
        <v>N/A</v>
      </c>
      <c r="I397" s="88" t="s">
        <v>403</v>
      </c>
      <c r="J397" s="88" t="s">
        <v>403</v>
      </c>
      <c r="K397" s="61"/>
      <c r="L397" s="62" t="str">
        <f>IF(K397=0,"N/A",(LOOKUP(I397,'Cost Basis'!A$4:A$13,'Cost Basis'!E$4:E$13)+IF(LOOKUP(Model!I397,'Cost Basis'!A$4:A$11)=I397,LOOKUP(Model!I397,'Cost Basis'!A$4:A$11,'Cost Basis'!C$4:C$11)*Model!K397*(1+LOOKUP(I397,'Cost Basis'!A$4:A$13,'Cost Basis'!F$3:F$13)),LOOKUP(Model!I397,'Cost Basis'!A$4:A$13,'Cost Basis'!C$4:C$13)*ROUNDUP(Model!K397/5280/30,0))*(1+LOOKUP(I397,'Cost Basis'!A$4:A$13,'Cost Basis'!F$4:F$13))))</f>
        <v>N/A</v>
      </c>
      <c r="M397" s="268" t="str">
        <f t="shared" si="17"/>
        <v>N/A</v>
      </c>
      <c r="N397" s="64" t="s">
        <v>915</v>
      </c>
      <c r="O397" s="253"/>
      <c r="P397" s="69"/>
    </row>
    <row r="398" spans="1:16" x14ac:dyDescent="0.3">
      <c r="A398" s="80">
        <v>4.1110000000000371</v>
      </c>
      <c r="B398" s="123" t="s">
        <v>279</v>
      </c>
      <c r="C398" s="59" t="s">
        <v>388</v>
      </c>
      <c r="D398" s="65">
        <v>4136</v>
      </c>
      <c r="E398" s="65">
        <v>3730</v>
      </c>
      <c r="F398" s="59"/>
      <c r="G398" s="59"/>
      <c r="H398" s="87" t="str">
        <f>IF(B398="Projects","N/A",IF(B398="Served","N/A",('Cost Basis'!E$3+('Cost Basis'!C$3*Model!D398))*(1+'Cost Basis'!F$3)))</f>
        <v>N/A</v>
      </c>
      <c r="I398" s="88" t="s">
        <v>403</v>
      </c>
      <c r="J398" s="88" t="s">
        <v>403</v>
      </c>
      <c r="K398" s="61"/>
      <c r="L398" s="62" t="str">
        <f>IF(K398=0,"N/A",(LOOKUP(I398,'Cost Basis'!A$4:A$13,'Cost Basis'!E$4:E$13)+IF(LOOKUP(Model!I398,'Cost Basis'!A$4:A$11)=I398,LOOKUP(Model!I398,'Cost Basis'!A$4:A$11,'Cost Basis'!C$4:C$11)*Model!K398*(1+LOOKUP(I398,'Cost Basis'!A$4:A$13,'Cost Basis'!F$3:F$13)),LOOKUP(Model!I398,'Cost Basis'!A$4:A$13,'Cost Basis'!C$4:C$13)*ROUNDUP(Model!K398/5280/30,0))*(1+LOOKUP(I398,'Cost Basis'!A$4:A$13,'Cost Basis'!F$4:F$13))))</f>
        <v>N/A</v>
      </c>
      <c r="M398" s="268" t="str">
        <f t="shared" si="17"/>
        <v>N/A</v>
      </c>
      <c r="N398" s="64" t="s">
        <v>916</v>
      </c>
      <c r="O398" s="253"/>
      <c r="P398" s="69"/>
    </row>
    <row r="399" spans="1:16" x14ac:dyDescent="0.3">
      <c r="A399" s="80">
        <v>4.1120000000000374</v>
      </c>
      <c r="B399" s="123" t="s">
        <v>279</v>
      </c>
      <c r="C399" s="59" t="s">
        <v>389</v>
      </c>
      <c r="D399" s="65">
        <v>1675</v>
      </c>
      <c r="E399" s="65">
        <v>717</v>
      </c>
      <c r="F399" s="59"/>
      <c r="G399" s="59"/>
      <c r="H399" s="87" t="str">
        <f>IF(B399="Projects","N/A",IF(B399="Served","N/A",('Cost Basis'!E$3+('Cost Basis'!C$3*Model!D399))*(1+'Cost Basis'!F$3)))</f>
        <v>N/A</v>
      </c>
      <c r="I399" s="88" t="s">
        <v>403</v>
      </c>
      <c r="J399" s="88" t="s">
        <v>403</v>
      </c>
      <c r="K399" s="61"/>
      <c r="L399" s="62" t="str">
        <f>IF(K399=0,"N/A",(LOOKUP(I399,'Cost Basis'!A$4:A$13,'Cost Basis'!E$4:E$13)+IF(LOOKUP(Model!I399,'Cost Basis'!A$4:A$11)=I399,LOOKUP(Model!I399,'Cost Basis'!A$4:A$11,'Cost Basis'!C$4:C$11)*Model!K399*(1+LOOKUP(I399,'Cost Basis'!A$4:A$13,'Cost Basis'!F$3:F$13)),LOOKUP(Model!I399,'Cost Basis'!A$4:A$13,'Cost Basis'!C$4:C$13)*ROUNDUP(Model!K399/5280/30,0))*(1+LOOKUP(I399,'Cost Basis'!A$4:A$13,'Cost Basis'!F$4:F$13))))</f>
        <v>N/A</v>
      </c>
      <c r="M399" s="268" t="str">
        <f t="shared" si="17"/>
        <v>N/A</v>
      </c>
      <c r="N399" s="64" t="s">
        <v>917</v>
      </c>
      <c r="O399" s="253"/>
      <c r="P399" s="69"/>
    </row>
    <row r="400" spans="1:16" x14ac:dyDescent="0.3">
      <c r="A400" s="80">
        <v>4.1130000000000377</v>
      </c>
      <c r="B400" s="123" t="s">
        <v>279</v>
      </c>
      <c r="C400" s="59" t="s">
        <v>390</v>
      </c>
      <c r="D400" s="65">
        <v>70</v>
      </c>
      <c r="E400" s="65">
        <v>38</v>
      </c>
      <c r="F400" s="59"/>
      <c r="G400" s="59"/>
      <c r="H400" s="87" t="str">
        <f>IF(B400="Projects","N/A",IF(B400="Served","N/A",('Cost Basis'!E$3+('Cost Basis'!C$3*Model!D400))*(1+'Cost Basis'!F$3)))</f>
        <v>N/A</v>
      </c>
      <c r="I400" s="88" t="s">
        <v>403</v>
      </c>
      <c r="J400" s="88" t="s">
        <v>403</v>
      </c>
      <c r="K400" s="61"/>
      <c r="L400" s="62" t="str">
        <f>IF(K400=0,"N/A",(LOOKUP(I400,'Cost Basis'!A$4:A$13,'Cost Basis'!E$4:E$13)+IF(LOOKUP(Model!I400,'Cost Basis'!A$4:A$11)=I400,LOOKUP(Model!I400,'Cost Basis'!A$4:A$11,'Cost Basis'!C$4:C$11)*Model!K400*(1+LOOKUP(I400,'Cost Basis'!A$4:A$13,'Cost Basis'!F$3:F$13)),LOOKUP(Model!I400,'Cost Basis'!A$4:A$13,'Cost Basis'!C$4:C$13)*ROUNDUP(Model!K400/5280/30,0))*(1+LOOKUP(I400,'Cost Basis'!A$4:A$13,'Cost Basis'!F$4:F$13))))</f>
        <v>N/A</v>
      </c>
      <c r="M400" s="268" t="str">
        <f t="shared" si="17"/>
        <v>N/A</v>
      </c>
      <c r="N400" s="64" t="s">
        <v>918</v>
      </c>
      <c r="O400" s="253"/>
      <c r="P400" s="69"/>
    </row>
    <row r="401" spans="1:16" ht="15" thickBot="1" x14ac:dyDescent="0.35">
      <c r="A401" s="108">
        <v>4.1140000000000381</v>
      </c>
      <c r="B401" s="128" t="s">
        <v>279</v>
      </c>
      <c r="C401" s="72" t="s">
        <v>391</v>
      </c>
      <c r="D401" s="73">
        <v>1451</v>
      </c>
      <c r="E401" s="73">
        <v>989</v>
      </c>
      <c r="F401" s="72"/>
      <c r="G401" s="72"/>
      <c r="H401" s="89" t="str">
        <f>IF(B401="Projects","N/A",IF(B401="Served","N/A",('Cost Basis'!E$3+('Cost Basis'!C$3*Model!D401))*(1+'Cost Basis'!F$3)))</f>
        <v>N/A</v>
      </c>
      <c r="I401" s="90" t="s">
        <v>403</v>
      </c>
      <c r="J401" s="90" t="s">
        <v>403</v>
      </c>
      <c r="K401" s="75"/>
      <c r="L401" s="76" t="str">
        <f>IF(K401=0,"N/A",(LOOKUP(I401,'Cost Basis'!A$4:A$13,'Cost Basis'!E$4:E$13)+IF(LOOKUP(Model!I401,'Cost Basis'!A$4:A$11)=I401,LOOKUP(Model!I401,'Cost Basis'!A$4:A$11,'Cost Basis'!C$4:C$11)*Model!K401*(1+LOOKUP(I401,'Cost Basis'!A$4:A$13,'Cost Basis'!F$3:F$13)),LOOKUP(Model!I401,'Cost Basis'!A$4:A$13,'Cost Basis'!C$4:C$13)*ROUNDUP(Model!K401/5280/30,0))*(1+LOOKUP(I401,'Cost Basis'!A$4:A$13,'Cost Basis'!F$4:F$13))))</f>
        <v>N/A</v>
      </c>
      <c r="M401" s="269" t="str">
        <f t="shared" si="17"/>
        <v>N/A</v>
      </c>
      <c r="N401" s="77" t="s">
        <v>919</v>
      </c>
      <c r="O401" s="254"/>
      <c r="P401" s="78"/>
    </row>
    <row r="402" spans="1:16" x14ac:dyDescent="0.3">
      <c r="M402" s="271">
        <f ca="1">SUM(M2:M401)</f>
        <v>1887712889.0800004</v>
      </c>
    </row>
    <row r="408" spans="1:16" s="81" customFormat="1" x14ac:dyDescent="0.3">
      <c r="A408" s="230"/>
      <c r="B408" s="231"/>
      <c r="C408" s="231"/>
      <c r="D408" s="232"/>
      <c r="E408" s="232"/>
      <c r="F408" s="231"/>
      <c r="G408" s="231"/>
      <c r="M408" s="272"/>
      <c r="N408" s="233"/>
      <c r="O408" s="233"/>
      <c r="P408" s="231"/>
    </row>
    <row r="409" spans="1:16" s="81" customFormat="1" x14ac:dyDescent="0.3">
      <c r="A409" s="230"/>
      <c r="B409" s="231"/>
      <c r="C409" s="231"/>
      <c r="D409" s="232"/>
      <c r="E409" s="232"/>
      <c r="F409" s="231"/>
      <c r="G409" s="231"/>
      <c r="M409" s="272"/>
      <c r="N409" s="233"/>
      <c r="O409" s="233"/>
      <c r="P409" s="231"/>
    </row>
  </sheetData>
  <sheetProtection sheet="1" objects="1" scenarios="1"/>
  <autoFilter ref="A1:P402" xr:uid="{174543A7-180A-4200-B9BC-85728A364807}"/>
  <sortState xmlns:xlrd2="http://schemas.microsoft.com/office/spreadsheetml/2017/richdata2" ref="A2:P401">
    <sortCondition ref="N2:N401"/>
    <sortCondition ref="D2:D401"/>
    <sortCondition ref="E2:E401"/>
    <sortCondition ref="A2:A401"/>
  </sortState>
  <phoneticPr fontId="4" type="noConversion"/>
  <dataValidations count="1">
    <dataValidation type="list" allowBlank="1" showInputMessage="1" showErrorMessage="1" sqref="I100:I101 I141:I142 I156:I160 I96:I97 I125:I139 I2:I42 I103:I123 I64:I72 I75:I78 I80:I81 I94 I146 I150:I151 I153 I44:I60 I62 I83:I91 I162:I186 I195" xr:uid="{6F0AD4C9-B876-4DF4-AF1D-C80C960BA9CF}">
      <formula1>Technology_List</formula1>
    </dataValidation>
  </dataValidations>
  <hyperlinks>
    <hyperlink ref="P87" r:id="rId1" display="https://www.liquisearch.com/alexander_creek_alaska/demographics/population" xr:uid="{880E9E12-5989-4EB2-B465-F7060E158E05}"/>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DCE71306-8B53-4BCE-9D98-2BA4E8A919C9}">
          <x14:formula1>
            <xm:f>'Cost Basis'!$A$4:$A$14</xm:f>
          </x14:formula1>
          <xm:sqref>I161 I154:I155 I140 I124 I92:I93 I147:I149 I43 I143:I145 I73:I74 I95 I102 I61 I63 I82 I152 I98:I99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1C0FB-1B23-4F47-90D3-8778C01AE6AC}">
  <dimension ref="A1:Z15"/>
  <sheetViews>
    <sheetView zoomScale="140" zoomScaleNormal="140" workbookViewId="0">
      <selection activeCell="B9" sqref="B9"/>
    </sheetView>
  </sheetViews>
  <sheetFormatPr defaultColWidth="9.109375" defaultRowHeight="10.199999999999999" x14ac:dyDescent="0.2"/>
  <cols>
    <col min="1" max="1" width="35.33203125" style="7" bestFit="1" customWidth="1"/>
    <col min="2" max="2" width="32.109375" style="7" customWidth="1"/>
    <col min="3" max="3" width="11.88671875" style="7" bestFit="1" customWidth="1"/>
    <col min="4" max="4" width="9.109375" style="7"/>
    <col min="5" max="5" width="10.88671875" style="7" bestFit="1" customWidth="1"/>
    <col min="6" max="6" width="9.109375" style="7"/>
    <col min="7" max="7" width="3.109375" style="7" bestFit="1" customWidth="1"/>
    <col min="8" max="8" width="3.88671875" style="7" bestFit="1" customWidth="1"/>
    <col min="9" max="23" width="3.109375" style="7" bestFit="1" customWidth="1"/>
    <col min="24" max="24" width="4.33203125" style="7" customWidth="1"/>
    <col min="25" max="25" width="10.88671875" style="7" bestFit="1" customWidth="1"/>
    <col min="26" max="16384" width="9.109375" style="7"/>
  </cols>
  <sheetData>
    <row r="1" spans="1:26" x14ac:dyDescent="0.2">
      <c r="G1" s="274" t="s">
        <v>722</v>
      </c>
      <c r="H1" s="274"/>
      <c r="I1" s="274"/>
      <c r="J1" s="274"/>
      <c r="K1" s="274"/>
      <c r="L1" s="274"/>
      <c r="M1" s="274"/>
      <c r="N1" s="274"/>
      <c r="O1" s="274"/>
      <c r="P1" s="274"/>
      <c r="Q1" s="274"/>
      <c r="R1" s="274"/>
      <c r="S1" s="274"/>
      <c r="T1" s="274"/>
      <c r="U1" s="274"/>
      <c r="V1" s="274"/>
      <c r="W1" s="274"/>
    </row>
    <row r="2" spans="1:26" s="5" customFormat="1" ht="77.400000000000006" thickBot="1" x14ac:dyDescent="0.35">
      <c r="A2" s="5" t="s">
        <v>409</v>
      </c>
      <c r="B2" s="5" t="s">
        <v>0</v>
      </c>
      <c r="C2" s="5" t="s">
        <v>413</v>
      </c>
      <c r="D2" s="5" t="s">
        <v>471</v>
      </c>
      <c r="E2" s="5" t="s">
        <v>705</v>
      </c>
      <c r="F2" s="5" t="s">
        <v>923</v>
      </c>
      <c r="G2" s="47" t="s">
        <v>704</v>
      </c>
      <c r="H2" s="48" t="s">
        <v>479</v>
      </c>
      <c r="I2" s="48" t="s">
        <v>666</v>
      </c>
      <c r="J2" s="48" t="s">
        <v>668</v>
      </c>
      <c r="K2" s="48" t="s">
        <v>480</v>
      </c>
      <c r="L2" s="48" t="s">
        <v>670</v>
      </c>
      <c r="M2" s="48" t="s">
        <v>671</v>
      </c>
      <c r="N2" s="48" t="s">
        <v>672</v>
      </c>
      <c r="O2" s="48" t="s">
        <v>481</v>
      </c>
      <c r="P2" s="48" t="s">
        <v>477</v>
      </c>
      <c r="Q2" s="48" t="s">
        <v>494</v>
      </c>
      <c r="R2" s="48" t="s">
        <v>482</v>
      </c>
      <c r="S2" s="48" t="s">
        <v>483</v>
      </c>
      <c r="T2" s="48" t="s">
        <v>495</v>
      </c>
      <c r="U2" s="48" t="s">
        <v>484</v>
      </c>
      <c r="V2" s="48" t="s">
        <v>485</v>
      </c>
      <c r="W2" s="48" t="s">
        <v>478</v>
      </c>
    </row>
    <row r="3" spans="1:26" ht="10.8" thickBot="1" x14ac:dyDescent="0.25">
      <c r="A3" s="51" t="s">
        <v>706</v>
      </c>
      <c r="B3" s="52"/>
      <c r="C3" s="129">
        <v>7500</v>
      </c>
      <c r="D3" s="52" t="s">
        <v>472</v>
      </c>
      <c r="E3" s="129">
        <v>150000</v>
      </c>
      <c r="F3" s="130">
        <v>0.1</v>
      </c>
      <c r="H3" s="45">
        <v>1</v>
      </c>
      <c r="I3" s="45">
        <v>2</v>
      </c>
      <c r="J3" s="45">
        <v>3</v>
      </c>
      <c r="K3" s="45">
        <v>4</v>
      </c>
      <c r="L3" s="45">
        <v>5</v>
      </c>
      <c r="M3" s="45">
        <v>6</v>
      </c>
      <c r="N3" s="45">
        <v>7</v>
      </c>
      <c r="O3" s="45">
        <v>8</v>
      </c>
      <c r="P3" s="45">
        <v>9</v>
      </c>
      <c r="Q3" s="45">
        <v>10</v>
      </c>
      <c r="R3" s="45">
        <v>11</v>
      </c>
      <c r="S3" s="45">
        <v>12</v>
      </c>
      <c r="T3" s="45">
        <v>13</v>
      </c>
      <c r="U3" s="45">
        <v>14</v>
      </c>
      <c r="V3" s="45">
        <v>15</v>
      </c>
      <c r="W3" s="45">
        <v>16</v>
      </c>
    </row>
    <row r="4" spans="1:26" x14ac:dyDescent="0.2">
      <c r="A4" s="11" t="s">
        <v>421</v>
      </c>
      <c r="B4" s="12" t="str">
        <f t="shared" ref="B4:B13" si="0">G4&amp;H4&amp;I4&amp;J4&amp;K4&amp;L4&amp;M4&amp;N4&amp;O4&amp;P4&amp;Q4&amp;R4&amp;S4&amp;T4&amp;U4&amp;V4&amp;W4</f>
        <v>01.01.05.01.00.90.00.03.01.01.90.91.01.90.01.01.01.</v>
      </c>
      <c r="C4" s="13">
        <f>+LOOKUP(L4,'Cost Basis Detail'!C$14:C$20,'Cost Basis Detail'!E$14:E$20)+LOOKUP('Cost Basis'!Q4,'Cost Basis Detail'!C$34:C$35,'Cost Basis Detail'!E$34:E$35)+LOOKUP('Cost Basis'!R4,'Cost Basis Detail'!C$36:C$39,'Cost Basis Detail'!E$36:E$39)+LOOKUP(T4,'Cost Basis Detail'!C$41:C$42,'Cost Basis Detail'!E$41:E$42)</f>
        <v>28</v>
      </c>
      <c r="D4" s="6" t="s">
        <v>473</v>
      </c>
      <c r="E4" s="222">
        <f>LOOKUP(I4,'Cost Basis Detail'!$C$5:$C$9,'Cost Basis Detail'!$E$5:$E$9)+LOOKUP('Cost Basis'!J4,'Cost Basis Detail'!C$10,'Cost Basis Detail'!E$10)+LOOKUP(K4,'Cost Basis Detail'!C$11:C$13,'Cost Basis Detail'!E$11:E$13)+LOOKUP('Cost Basis'!M4,'Cost Basis Detail'!C$21:C$22,'Cost Basis Detail'!E$21:E$22)+LOOKUP('Cost Basis'!N4,'Cost Basis Detail'!C$23:C$27,'Cost Basis Detail'!E$23:E$27)+LOOKUP(O4,'Cost Basis Detail'!C$28:C$32,'Cost Basis Detail'!E$28:E$32)+LOOKUP('Cost Basis'!P4,'Cost Basis Detail'!C$33,'Cost Basis Detail'!E$33)+LOOKUP('Cost Basis'!S4,'Cost Basis Detail'!C$40,'Cost Basis Detail'!E$40)+LOOKUP('Cost Basis'!U4,'Cost Basis Detail'!C$43,'Cost Basis Detail'!E$43)+LOOKUP('Cost Basis'!V4,'Cost Basis Detail'!C$44,'Cost Basis Detail'!E$44)+LOOKUP('Cost Basis'!W4,'Cost Basis Detail'!C$45,'Cost Basis Detail'!E$45)</f>
        <v>1480000</v>
      </c>
      <c r="F4" s="84">
        <f>'Cost Basis Detail'!E4</f>
        <v>0.1</v>
      </c>
      <c r="G4" s="131" t="s">
        <v>675</v>
      </c>
      <c r="H4" s="132" t="s">
        <v>675</v>
      </c>
      <c r="I4" s="132" t="s">
        <v>679</v>
      </c>
      <c r="J4" s="132" t="s">
        <v>675</v>
      </c>
      <c r="K4" s="132" t="s">
        <v>683</v>
      </c>
      <c r="L4" s="132" t="s">
        <v>684</v>
      </c>
      <c r="M4" s="132" t="s">
        <v>683</v>
      </c>
      <c r="N4" s="132" t="s">
        <v>677</v>
      </c>
      <c r="O4" s="132" t="s">
        <v>675</v>
      </c>
      <c r="P4" s="132" t="s">
        <v>675</v>
      </c>
      <c r="Q4" s="132" t="s">
        <v>684</v>
      </c>
      <c r="R4" s="132" t="s">
        <v>685</v>
      </c>
      <c r="S4" s="132" t="s">
        <v>675</v>
      </c>
      <c r="T4" s="132" t="s">
        <v>684</v>
      </c>
      <c r="U4" s="132" t="s">
        <v>675</v>
      </c>
      <c r="V4" s="132" t="s">
        <v>675</v>
      </c>
      <c r="W4" s="132" t="s">
        <v>675</v>
      </c>
      <c r="Y4" s="49"/>
      <c r="Z4" s="53"/>
    </row>
    <row r="5" spans="1:26" x14ac:dyDescent="0.2">
      <c r="A5" s="11" t="s">
        <v>673</v>
      </c>
      <c r="B5" s="12" t="str">
        <f t="shared" si="0"/>
        <v>02.01.05.01.00.91.00.03.01.01.90.91.01.90.01.01.01.</v>
      </c>
      <c r="C5" s="13">
        <f>+LOOKUP(L5,'Cost Basis Detail'!C$14:C$20,'Cost Basis Detail'!F$14:F$20)+LOOKUP('Cost Basis'!Q5,'Cost Basis Detail'!C$34:C$35,'Cost Basis Detail'!F$34:F$35)+LOOKUP('Cost Basis'!R5,'Cost Basis Detail'!C$36:C$39,'Cost Basis Detail'!F$36:F$39)+LOOKUP(T5,'Cost Basis Detail'!C$41:C$42,'Cost Basis Detail'!F$41:F$42)</f>
        <v>33</v>
      </c>
      <c r="D5" s="11" t="s">
        <v>473</v>
      </c>
      <c r="E5" s="223">
        <f>LOOKUP(I5,'Cost Basis Detail'!$C$5:$C$9,'Cost Basis Detail'!$F$5:$F$9)+LOOKUP('Cost Basis'!J5,'Cost Basis Detail'!C$10,'Cost Basis Detail'!F$10)+LOOKUP(K5,'Cost Basis Detail'!C$11:C$13,'Cost Basis Detail'!F$11:F$13)+LOOKUP('Cost Basis'!M5,'Cost Basis Detail'!C$21:C$22,'Cost Basis Detail'!F$21:F$22)+LOOKUP('Cost Basis'!N5,'Cost Basis Detail'!C$23:C$27,'Cost Basis Detail'!F$23:F$27)+LOOKUP(O5,'Cost Basis Detail'!C$28:C$32,'Cost Basis Detail'!F$28:F$32)+LOOKUP('Cost Basis'!P5,'Cost Basis Detail'!C$33,'Cost Basis Detail'!F$33)+LOOKUP('Cost Basis'!S5,'Cost Basis Detail'!C$40,'Cost Basis Detail'!F$40)+LOOKUP('Cost Basis'!U5,'Cost Basis Detail'!C$43,'Cost Basis Detail'!F$43)+LOOKUP('Cost Basis'!V5,'Cost Basis Detail'!C$44,'Cost Basis Detail'!F$44)+LOOKUP('Cost Basis'!W5,'Cost Basis Detail'!C$45,'Cost Basis Detail'!F$45)</f>
        <v>1500000</v>
      </c>
      <c r="F5" s="85">
        <f>'Cost Basis Detail'!F4</f>
        <v>0.1</v>
      </c>
      <c r="G5" s="131" t="s">
        <v>676</v>
      </c>
      <c r="H5" s="132" t="s">
        <v>675</v>
      </c>
      <c r="I5" s="132" t="s">
        <v>679</v>
      </c>
      <c r="J5" s="132" t="s">
        <v>675</v>
      </c>
      <c r="K5" s="132" t="s">
        <v>683</v>
      </c>
      <c r="L5" s="132" t="s">
        <v>685</v>
      </c>
      <c r="M5" s="132" t="s">
        <v>683</v>
      </c>
      <c r="N5" s="132" t="s">
        <v>677</v>
      </c>
      <c r="O5" s="132" t="s">
        <v>675</v>
      </c>
      <c r="P5" s="132" t="s">
        <v>675</v>
      </c>
      <c r="Q5" s="132" t="s">
        <v>684</v>
      </c>
      <c r="R5" s="132" t="s">
        <v>685</v>
      </c>
      <c r="S5" s="132" t="s">
        <v>675</v>
      </c>
      <c r="T5" s="132" t="s">
        <v>684</v>
      </c>
      <c r="U5" s="132" t="s">
        <v>675</v>
      </c>
      <c r="V5" s="132" t="s">
        <v>675</v>
      </c>
      <c r="W5" s="132" t="s">
        <v>675</v>
      </c>
    </row>
    <row r="6" spans="1:26" x14ac:dyDescent="0.2">
      <c r="A6" s="11" t="s">
        <v>410</v>
      </c>
      <c r="B6" s="12" t="str">
        <f t="shared" si="0"/>
        <v>06.01.05.01.00.92.00.03.01.01.90.90.01.90.01.01.01.</v>
      </c>
      <c r="C6" s="13">
        <f>+LOOKUP(L6,'Cost Basis Detail'!C$14:C$20,'Cost Basis Detail'!J$14:J$20)+LOOKUP('Cost Basis'!Q6,'Cost Basis Detail'!C$34:C$35,'Cost Basis Detail'!J$34:J$35)+LOOKUP('Cost Basis'!R6,'Cost Basis Detail'!C$36:C$39,'Cost Basis Detail'!J$36:J$39)+LOOKUP(T6,'Cost Basis Detail'!C$41:C$42,'Cost Basis Detail'!J$41:J$42)</f>
        <v>30</v>
      </c>
      <c r="D6" s="11" t="s">
        <v>473</v>
      </c>
      <c r="E6" s="223">
        <f>LOOKUP(I6,'Cost Basis Detail'!$C$5:$C$9,'Cost Basis Detail'!$J$5:$J$9)+LOOKUP('Cost Basis'!J6,'Cost Basis Detail'!C$10,'Cost Basis Detail'!J$10)+LOOKUP(K6,'Cost Basis Detail'!C$11:C$13,'Cost Basis Detail'!J$11:J$13)+LOOKUP('Cost Basis'!M6,'Cost Basis Detail'!C$21:C$22,'Cost Basis Detail'!J$21:J$22)+LOOKUP('Cost Basis'!N6,'Cost Basis Detail'!C$23:C$27,'Cost Basis Detail'!J$23:J$27)+LOOKUP(O6,'Cost Basis Detail'!C$28:C$32,'Cost Basis Detail'!J$28:J$32)+LOOKUP('Cost Basis'!P6,'Cost Basis Detail'!C$33,'Cost Basis Detail'!J$33)+LOOKUP('Cost Basis'!S6,'Cost Basis Detail'!C$40,'Cost Basis Detail'!J$40)+LOOKUP('Cost Basis'!U6,'Cost Basis Detail'!C$43,'Cost Basis Detail'!J$43)+LOOKUP('Cost Basis'!V6,'Cost Basis Detail'!C$44,'Cost Basis Detail'!J$44)+LOOKUP('Cost Basis'!W6,'Cost Basis Detail'!C$45,'Cost Basis Detail'!J$45)</f>
        <v>1300000</v>
      </c>
      <c r="F6" s="85">
        <f>'Cost Basis Detail'!J4</f>
        <v>0.1</v>
      </c>
      <c r="G6" s="131" t="s">
        <v>680</v>
      </c>
      <c r="H6" s="132" t="s">
        <v>675</v>
      </c>
      <c r="I6" s="132" t="s">
        <v>679</v>
      </c>
      <c r="J6" s="132" t="s">
        <v>675</v>
      </c>
      <c r="K6" s="132" t="s">
        <v>683</v>
      </c>
      <c r="L6" s="132" t="s">
        <v>686</v>
      </c>
      <c r="M6" s="132" t="s">
        <v>683</v>
      </c>
      <c r="N6" s="132" t="s">
        <v>677</v>
      </c>
      <c r="O6" s="132" t="s">
        <v>675</v>
      </c>
      <c r="P6" s="132" t="s">
        <v>675</v>
      </c>
      <c r="Q6" s="132" t="s">
        <v>684</v>
      </c>
      <c r="R6" s="132" t="s">
        <v>684</v>
      </c>
      <c r="S6" s="132" t="s">
        <v>675</v>
      </c>
      <c r="T6" s="132" t="s">
        <v>684</v>
      </c>
      <c r="U6" s="132" t="s">
        <v>675</v>
      </c>
      <c r="V6" s="132" t="s">
        <v>675</v>
      </c>
      <c r="W6" s="132" t="s">
        <v>675</v>
      </c>
    </row>
    <row r="7" spans="1:26" x14ac:dyDescent="0.2">
      <c r="A7" s="11" t="s">
        <v>411</v>
      </c>
      <c r="B7" s="12" t="str">
        <f t="shared" si="0"/>
        <v>05.01.05.01.00.93.00.03.01.01.90.91.01.90.01.01.01.</v>
      </c>
      <c r="C7" s="13">
        <f>+LOOKUP(L7,'Cost Basis Detail'!C$14:C$20,'Cost Basis Detail'!I$14:I$20)+LOOKUP('Cost Basis'!Q7,'Cost Basis Detail'!C$34:C$35,'Cost Basis Detail'!I$34:I$35)+LOOKUP('Cost Basis'!R7,'Cost Basis Detail'!C$36:C$39,'Cost Basis Detail'!I$36:I$39)+LOOKUP(T7,'Cost Basis Detail'!C$41:C$42,'Cost Basis Detail'!I$41:I$42)</f>
        <v>35</v>
      </c>
      <c r="D7" s="11" t="s">
        <v>473</v>
      </c>
      <c r="E7" s="223">
        <f>LOOKUP(I7,'Cost Basis Detail'!$C$5:$C$9,'Cost Basis Detail'!$I$5:$I$9)+LOOKUP('Cost Basis'!J7,'Cost Basis Detail'!C$10,'Cost Basis Detail'!I$10)+LOOKUP(K7,'Cost Basis Detail'!C$11:C$13,'Cost Basis Detail'!I$11:I$13)+LOOKUP('Cost Basis'!M7,'Cost Basis Detail'!C$21:C$22,'Cost Basis Detail'!I$21:I$22)+LOOKUP('Cost Basis'!N7,'Cost Basis Detail'!C$23:C$27,'Cost Basis Detail'!I$23:I$27)+LOOKUP(O7,'Cost Basis Detail'!C$28:C$32,'Cost Basis Detail'!I$28:I$32)+LOOKUP('Cost Basis'!P7,'Cost Basis Detail'!C$33,'Cost Basis Detail'!I$33)+LOOKUP('Cost Basis'!S7,'Cost Basis Detail'!C$40,'Cost Basis Detail'!I$40)+LOOKUP('Cost Basis'!U7,'Cost Basis Detail'!C$43,'Cost Basis Detail'!I$43)+LOOKUP('Cost Basis'!V7,'Cost Basis Detail'!C$44,'Cost Basis Detail'!I$44)+LOOKUP('Cost Basis'!W7,'Cost Basis Detail'!C$45,'Cost Basis Detail'!I$45)</f>
        <v>1500000</v>
      </c>
      <c r="F7" s="85">
        <f>'Cost Basis Detail'!I4</f>
        <v>0.1</v>
      </c>
      <c r="G7" s="131" t="s">
        <v>679</v>
      </c>
      <c r="H7" s="132" t="s">
        <v>675</v>
      </c>
      <c r="I7" s="132" t="s">
        <v>679</v>
      </c>
      <c r="J7" s="132" t="s">
        <v>675</v>
      </c>
      <c r="K7" s="132" t="s">
        <v>683</v>
      </c>
      <c r="L7" s="132" t="s">
        <v>687</v>
      </c>
      <c r="M7" s="132" t="s">
        <v>683</v>
      </c>
      <c r="N7" s="132" t="s">
        <v>677</v>
      </c>
      <c r="O7" s="132" t="s">
        <v>675</v>
      </c>
      <c r="P7" s="132" t="s">
        <v>675</v>
      </c>
      <c r="Q7" s="132" t="s">
        <v>684</v>
      </c>
      <c r="R7" s="132" t="s">
        <v>685</v>
      </c>
      <c r="S7" s="132" t="s">
        <v>675</v>
      </c>
      <c r="T7" s="132" t="s">
        <v>684</v>
      </c>
      <c r="U7" s="132" t="s">
        <v>675</v>
      </c>
      <c r="V7" s="132" t="s">
        <v>675</v>
      </c>
      <c r="W7" s="132" t="s">
        <v>675</v>
      </c>
    </row>
    <row r="8" spans="1:26" x14ac:dyDescent="0.2">
      <c r="A8" s="11" t="s">
        <v>416</v>
      </c>
      <c r="B8" s="12" t="str">
        <f t="shared" si="0"/>
        <v>08.01.05.01.00.90.00.03.01.01.90.90.01.90.01.01.01.</v>
      </c>
      <c r="C8" s="13">
        <f>+LOOKUP(L8,'Cost Basis Detail'!C$14:C$20,'Cost Basis Detail'!L$14:L$20)+LOOKUP('Cost Basis'!Q9,'Cost Basis Detail'!C$34:C$35,'Cost Basis Detail'!L$34:L$35)+LOOKUP('Cost Basis'!R9,'Cost Basis Detail'!C$36:C$39,'Cost Basis Detail'!L$36:L$39)+LOOKUP(T8,'Cost Basis Detail'!C$41:C$42,'Cost Basis Detail'!L$41:L$42)</f>
        <v>35</v>
      </c>
      <c r="D8" s="11" t="s">
        <v>473</v>
      </c>
      <c r="E8" s="223">
        <f>LOOKUP(I8,'Cost Basis Detail'!$C$5:$C$9,'Cost Basis Detail'!$L$5:$L$9)+LOOKUP('Cost Basis'!J9,'Cost Basis Detail'!C$10,'Cost Basis Detail'!L$10)+LOOKUP(K8,'Cost Basis Detail'!C$11:C$13,'Cost Basis Detail'!L$11:L$13)+LOOKUP('Cost Basis'!M9,'Cost Basis Detail'!C$21:C$22,'Cost Basis Detail'!L$21:L$22)+LOOKUP('Cost Basis'!N9,'Cost Basis Detail'!C$23:C$27,'Cost Basis Detail'!L$23:L$27)+LOOKUP(O8,'Cost Basis Detail'!C$28:C$32,'Cost Basis Detail'!L$28:L$32)+LOOKUP('Cost Basis'!P9,'Cost Basis Detail'!C$33,'Cost Basis Detail'!L$33)+LOOKUP('Cost Basis'!S9,'Cost Basis Detail'!C$40,'Cost Basis Detail'!L$40)+LOOKUP('Cost Basis'!U9,'Cost Basis Detail'!C$43,'Cost Basis Detail'!L$43)+LOOKUP('Cost Basis'!V9,'Cost Basis Detail'!C$44,'Cost Basis Detail'!L$44)+LOOKUP('Cost Basis'!W9,'Cost Basis Detail'!C$45,'Cost Basis Detail'!L$45)</f>
        <v>1470000</v>
      </c>
      <c r="F8" s="85">
        <f>'Cost Basis Detail'!L4</f>
        <v>0.1</v>
      </c>
      <c r="G8" s="131" t="s">
        <v>682</v>
      </c>
      <c r="H8" s="132" t="s">
        <v>675</v>
      </c>
      <c r="I8" s="132" t="s">
        <v>679</v>
      </c>
      <c r="J8" s="132" t="s">
        <v>675</v>
      </c>
      <c r="K8" s="132" t="s">
        <v>683</v>
      </c>
      <c r="L8" s="132" t="s">
        <v>684</v>
      </c>
      <c r="M8" s="132" t="s">
        <v>683</v>
      </c>
      <c r="N8" s="132" t="s">
        <v>677</v>
      </c>
      <c r="O8" s="132" t="s">
        <v>675</v>
      </c>
      <c r="P8" s="132" t="s">
        <v>675</v>
      </c>
      <c r="Q8" s="132" t="s">
        <v>684</v>
      </c>
      <c r="R8" s="132" t="s">
        <v>684</v>
      </c>
      <c r="S8" s="132" t="s">
        <v>675</v>
      </c>
      <c r="T8" s="132" t="s">
        <v>684</v>
      </c>
      <c r="U8" s="132" t="s">
        <v>675</v>
      </c>
      <c r="V8" s="132" t="s">
        <v>675</v>
      </c>
      <c r="W8" s="132" t="s">
        <v>675</v>
      </c>
    </row>
    <row r="9" spans="1:26" x14ac:dyDescent="0.2">
      <c r="A9" s="11" t="s">
        <v>414</v>
      </c>
      <c r="B9" s="12" t="str">
        <f t="shared" si="0"/>
        <v>07.01.05.01.00.94.00.03.01.01.90.90.01.90.01.01.01.</v>
      </c>
      <c r="C9" s="13">
        <f>+LOOKUP(L9,'Cost Basis Detail'!C$14:C$20,'Cost Basis Detail'!K$14:K$20)+LOOKUP('Cost Basis'!Q8,'Cost Basis Detail'!C$34:C$35,'Cost Basis Detail'!K$34:K$35)+LOOKUP('Cost Basis'!R8,'Cost Basis Detail'!C$36:C$39,'Cost Basis Detail'!K$36:K$39)+LOOKUP(T9,'Cost Basis Detail'!C$41:C$42,'Cost Basis Detail'!K$41:K$42)</f>
        <v>24</v>
      </c>
      <c r="D9" s="11" t="s">
        <v>473</v>
      </c>
      <c r="E9" s="223">
        <f>LOOKUP(I9,'Cost Basis Detail'!$C$5:$C$9,'Cost Basis Detail'!$K$5:$K$9)+LOOKUP('Cost Basis'!J8,'Cost Basis Detail'!C$10,'Cost Basis Detail'!K$10)+LOOKUP(K9,'Cost Basis Detail'!C$11:C$13,'Cost Basis Detail'!K$11:K$13)+LOOKUP('Cost Basis'!M8,'Cost Basis Detail'!C$21:C$22,'Cost Basis Detail'!K$21:K$22)+LOOKUP('Cost Basis'!N8,'Cost Basis Detail'!C$23:C$27,'Cost Basis Detail'!K$23:K$27)+LOOKUP(O9,'Cost Basis Detail'!C$28:C$32,'Cost Basis Detail'!K$28:K$32)+LOOKUP('Cost Basis'!P8,'Cost Basis Detail'!C$33,'Cost Basis Detail'!K$33)+LOOKUP('Cost Basis'!S8,'Cost Basis Detail'!C$40,'Cost Basis Detail'!K$40)+LOOKUP('Cost Basis'!U8,'Cost Basis Detail'!C$43,'Cost Basis Detail'!K$43)+LOOKUP('Cost Basis'!V8,'Cost Basis Detail'!C$44,'Cost Basis Detail'!K$44)+LOOKUP('Cost Basis'!W8,'Cost Basis Detail'!C$45,'Cost Basis Detail'!K$45)</f>
        <v>1410000</v>
      </c>
      <c r="F9" s="85">
        <f>'Cost Basis Detail'!K4</f>
        <v>0.1</v>
      </c>
      <c r="G9" s="131" t="s">
        <v>681</v>
      </c>
      <c r="H9" s="132" t="s">
        <v>675</v>
      </c>
      <c r="I9" s="132" t="s">
        <v>679</v>
      </c>
      <c r="J9" s="132" t="s">
        <v>675</v>
      </c>
      <c r="K9" s="132" t="s">
        <v>683</v>
      </c>
      <c r="L9" s="132" t="s">
        <v>688</v>
      </c>
      <c r="M9" s="132" t="s">
        <v>683</v>
      </c>
      <c r="N9" s="132" t="s">
        <v>677</v>
      </c>
      <c r="O9" s="132" t="s">
        <v>675</v>
      </c>
      <c r="P9" s="132" t="s">
        <v>675</v>
      </c>
      <c r="Q9" s="132" t="s">
        <v>684</v>
      </c>
      <c r="R9" s="132" t="s">
        <v>684</v>
      </c>
      <c r="S9" s="132" t="s">
        <v>675</v>
      </c>
      <c r="T9" s="132" t="s">
        <v>684</v>
      </c>
      <c r="U9" s="132" t="s">
        <v>675</v>
      </c>
      <c r="V9" s="132" t="s">
        <v>675</v>
      </c>
      <c r="W9" s="132" t="s">
        <v>675</v>
      </c>
    </row>
    <row r="10" spans="1:26" x14ac:dyDescent="0.2">
      <c r="A10" s="11" t="s">
        <v>412</v>
      </c>
      <c r="B10" s="12" t="str">
        <f t="shared" si="0"/>
        <v>03.01.05.01.00.90.00.03.01.01.90.90.01.90.01.01.01.</v>
      </c>
      <c r="C10" s="13">
        <f>+LOOKUP(L10,'Cost Basis Detail'!C$14:C$20,'Cost Basis Detail'!G$14:G$20)+LOOKUP('Cost Basis'!Q10,'Cost Basis Detail'!C$34:C$35,'Cost Basis Detail'!G$34:G$35)+LOOKUP('Cost Basis'!R10,'Cost Basis Detail'!C$36:C$39,'Cost Basis Detail'!G$36:G$39)+LOOKUP(T10,'Cost Basis Detail'!C$41:C$42,'Cost Basis Detail'!E$41:E$42)</f>
        <v>32</v>
      </c>
      <c r="D10" s="11" t="s">
        <v>473</v>
      </c>
      <c r="E10" s="223">
        <f>LOOKUP(I10,'Cost Basis Detail'!$C$5:$C$9,'Cost Basis Detail'!$G$5:$G$9)+LOOKUP('Cost Basis'!J10,'Cost Basis Detail'!C$10,'Cost Basis Detail'!G$10)+LOOKUP(K10,'Cost Basis Detail'!C$11:C$13,'Cost Basis Detail'!G$11:G$13)+LOOKUP('Cost Basis'!M10,'Cost Basis Detail'!C$21:C$22,'Cost Basis Detail'!G$21:G$22)+LOOKUP('Cost Basis'!N10,'Cost Basis Detail'!C$23:C$27,'Cost Basis Detail'!G$23:G$27)+LOOKUP(O10,'Cost Basis Detail'!C$28:C$32,'Cost Basis Detail'!G$28:G$32)+LOOKUP('Cost Basis'!P10,'Cost Basis Detail'!C$33,'Cost Basis Detail'!G$33)+LOOKUP('Cost Basis'!S10,'Cost Basis Detail'!C$40,'Cost Basis Detail'!G$40)+LOOKUP('Cost Basis'!U10,'Cost Basis Detail'!C$43,'Cost Basis Detail'!G$43)+LOOKUP('Cost Basis'!V10,'Cost Basis Detail'!C$44,'Cost Basis Detail'!G$44)+LOOKUP('Cost Basis'!W10,'Cost Basis Detail'!C$45,'Cost Basis Detail'!G$45)</f>
        <v>1710000</v>
      </c>
      <c r="F10" s="85">
        <f>'Cost Basis Detail'!G4</f>
        <v>0.1</v>
      </c>
      <c r="G10" s="133" t="s">
        <v>677</v>
      </c>
      <c r="H10" s="132" t="s">
        <v>675</v>
      </c>
      <c r="I10" s="132" t="s">
        <v>679</v>
      </c>
      <c r="J10" s="132" t="s">
        <v>675</v>
      </c>
      <c r="K10" s="132" t="s">
        <v>683</v>
      </c>
      <c r="L10" s="132" t="s">
        <v>684</v>
      </c>
      <c r="M10" s="132" t="s">
        <v>683</v>
      </c>
      <c r="N10" s="132" t="s">
        <v>677</v>
      </c>
      <c r="O10" s="132" t="s">
        <v>675</v>
      </c>
      <c r="P10" s="132" t="s">
        <v>675</v>
      </c>
      <c r="Q10" s="132" t="s">
        <v>684</v>
      </c>
      <c r="R10" s="132" t="s">
        <v>684</v>
      </c>
      <c r="S10" s="132" t="s">
        <v>675</v>
      </c>
      <c r="T10" s="132" t="s">
        <v>684</v>
      </c>
      <c r="U10" s="132" t="s">
        <v>675</v>
      </c>
      <c r="V10" s="132" t="s">
        <v>675</v>
      </c>
      <c r="W10" s="132" t="s">
        <v>675</v>
      </c>
    </row>
    <row r="11" spans="1:26" ht="10.8" thickBot="1" x14ac:dyDescent="0.25">
      <c r="A11" s="11" t="s">
        <v>674</v>
      </c>
      <c r="B11" s="12" t="str">
        <f t="shared" si="0"/>
        <v>04.01.05.01.00.91.00.03.01.01.90.90.01.90.01.01.01.</v>
      </c>
      <c r="C11" s="13">
        <f>+LOOKUP(L11,'Cost Basis Detail'!C$14:C$20,'Cost Basis Detail'!H$14:H$20)+LOOKUP('Cost Basis'!Q11,'Cost Basis Detail'!C$34:C$35,'Cost Basis Detail'!H$34:H$35)+LOOKUP('Cost Basis'!R11,'Cost Basis Detail'!C$36:C$39,'Cost Basis Detail'!H$36:H$39)+LOOKUP(T11,'Cost Basis Detail'!C$41:C$42,'Cost Basis Detail'!H$41:H$42)</f>
        <v>36</v>
      </c>
      <c r="D11" s="11" t="s">
        <v>473</v>
      </c>
      <c r="E11" s="223">
        <f>LOOKUP(I11,'Cost Basis Detail'!$C$5:$C$9,'Cost Basis Detail'!$H$5:$H$9)+LOOKUP('Cost Basis'!J11,'Cost Basis Detail'!C$10,'Cost Basis Detail'!H$10)+LOOKUP(K11,'Cost Basis Detail'!C$11:C$13,'Cost Basis Detail'!H$11:H$13)+LOOKUP('Cost Basis'!M11,'Cost Basis Detail'!C$21:C$22,'Cost Basis Detail'!H$21:H$22)+LOOKUP('Cost Basis'!N11,'Cost Basis Detail'!C$23:C$27,'Cost Basis Detail'!H$23:H$27)+LOOKUP(O11,'Cost Basis Detail'!C$28:C$32,'Cost Basis Detail'!H$28:H$32)+LOOKUP('Cost Basis'!P11,'Cost Basis Detail'!C$33,'Cost Basis Detail'!H$33)+LOOKUP('Cost Basis'!S11,'Cost Basis Detail'!C$40,'Cost Basis Detail'!H$40)+LOOKUP('Cost Basis'!U11,'Cost Basis Detail'!C$43,'Cost Basis Detail'!H$43)+LOOKUP('Cost Basis'!V11,'Cost Basis Detail'!C$44,'Cost Basis Detail'!H$44)+LOOKUP('Cost Basis'!W11,'Cost Basis Detail'!C$45,'Cost Basis Detail'!H$45)</f>
        <v>1710000</v>
      </c>
      <c r="F11" s="85">
        <f>'Cost Basis Detail'!H4</f>
        <v>0.1</v>
      </c>
      <c r="G11" s="133" t="s">
        <v>678</v>
      </c>
      <c r="H11" s="132" t="s">
        <v>675</v>
      </c>
      <c r="I11" s="132" t="s">
        <v>679</v>
      </c>
      <c r="J11" s="132" t="s">
        <v>675</v>
      </c>
      <c r="K11" s="132" t="s">
        <v>683</v>
      </c>
      <c r="L11" s="132" t="s">
        <v>685</v>
      </c>
      <c r="M11" s="132" t="s">
        <v>683</v>
      </c>
      <c r="N11" s="132" t="s">
        <v>677</v>
      </c>
      <c r="O11" s="132" t="s">
        <v>675</v>
      </c>
      <c r="P11" s="132" t="s">
        <v>675</v>
      </c>
      <c r="Q11" s="132" t="s">
        <v>684</v>
      </c>
      <c r="R11" s="132" t="s">
        <v>684</v>
      </c>
      <c r="S11" s="132" t="s">
        <v>675</v>
      </c>
      <c r="T11" s="132" t="s">
        <v>684</v>
      </c>
      <c r="U11" s="132" t="s">
        <v>675</v>
      </c>
      <c r="V11" s="132" t="s">
        <v>675</v>
      </c>
      <c r="W11" s="132" t="s">
        <v>675</v>
      </c>
    </row>
    <row r="12" spans="1:26" x14ac:dyDescent="0.2">
      <c r="A12" s="6" t="s">
        <v>699</v>
      </c>
      <c r="B12" s="46" t="str">
        <f t="shared" si="0"/>
        <v>09.01.05.01.00.90.01.03.01.01.90.90.01.90.01.01.01.</v>
      </c>
      <c r="C12" s="50">
        <v>250000</v>
      </c>
      <c r="D12" s="6" t="s">
        <v>700</v>
      </c>
      <c r="E12" s="222">
        <f>LOOKUP(I12,'Cost Basis Detail'!$C$5:$C$9,'Cost Basis Detail'!$M$5:$M$9)+LOOKUP('Cost Basis'!J12,'Cost Basis Detail'!C$10,'Cost Basis Detail'!M$10)+LOOKUP(K12,'Cost Basis Detail'!C$11:C$13,'Cost Basis Detail'!M$11:M$13)+LOOKUP('Cost Basis'!M12,'Cost Basis Detail'!C$21:C$22,'Cost Basis Detail'!M$21:M$22)+LOOKUP('Cost Basis'!N12,'Cost Basis Detail'!C$23:C$27,'Cost Basis Detail'!M$23:M$27)+LOOKUP(O12,'Cost Basis Detail'!C$28:C$32,'Cost Basis Detail'!M$28:M$32)+LOOKUP('Cost Basis'!P12,'Cost Basis Detail'!C$33,'Cost Basis Detail'!M$33)+LOOKUP('Cost Basis'!S12,'Cost Basis Detail'!C$40,'Cost Basis Detail'!M$40)+LOOKUP('Cost Basis'!U12,'Cost Basis Detail'!C$43,'Cost Basis Detail'!M$43)+LOOKUP('Cost Basis'!V12,'Cost Basis Detail'!C$44,'Cost Basis Detail'!M$44)+LOOKUP('Cost Basis'!W12,'Cost Basis Detail'!C$45,'Cost Basis Detail'!M$45)</f>
        <v>2060000</v>
      </c>
      <c r="F12" s="84">
        <f>'Cost Basis Detail'!M4</f>
        <v>0.1</v>
      </c>
      <c r="G12" s="131" t="s">
        <v>691</v>
      </c>
      <c r="H12" s="132" t="s">
        <v>675</v>
      </c>
      <c r="I12" s="132" t="s">
        <v>679</v>
      </c>
      <c r="J12" s="132" t="s">
        <v>675</v>
      </c>
      <c r="K12" s="132" t="s">
        <v>683</v>
      </c>
      <c r="L12" s="132" t="s">
        <v>684</v>
      </c>
      <c r="M12" s="132" t="s">
        <v>675</v>
      </c>
      <c r="N12" s="132" t="s">
        <v>677</v>
      </c>
      <c r="O12" s="132" t="s">
        <v>675</v>
      </c>
      <c r="P12" s="132" t="s">
        <v>675</v>
      </c>
      <c r="Q12" s="132" t="s">
        <v>684</v>
      </c>
      <c r="R12" s="132" t="s">
        <v>684</v>
      </c>
      <c r="S12" s="132" t="s">
        <v>675</v>
      </c>
      <c r="T12" s="132" t="s">
        <v>684</v>
      </c>
      <c r="U12" s="132" t="s">
        <v>675</v>
      </c>
      <c r="V12" s="132" t="s">
        <v>675</v>
      </c>
      <c r="W12" s="132" t="s">
        <v>675</v>
      </c>
    </row>
    <row r="13" spans="1:26" ht="10.8" thickBot="1" x14ac:dyDescent="0.25">
      <c r="A13" s="8" t="s">
        <v>698</v>
      </c>
      <c r="B13" s="9" t="str">
        <f t="shared" si="0"/>
        <v>10.01.05.01.00.90.01.03.01.01.90.90.01.90.01.01.01.</v>
      </c>
      <c r="C13" s="10">
        <v>250000</v>
      </c>
      <c r="D13" s="8" t="s">
        <v>700</v>
      </c>
      <c r="E13" s="224">
        <f>LOOKUP(I13,'Cost Basis Detail'!$C$5:$C$9,'Cost Basis Detail'!$N$5:$N$9)+LOOKUP('Cost Basis'!J13,'Cost Basis Detail'!C$10,'Cost Basis Detail'!N$10)+LOOKUP(K13,'Cost Basis Detail'!C$11:C$13,'Cost Basis Detail'!N$11:N$13)+LOOKUP('Cost Basis'!N13,'Cost Basis Detail'!C$21:C$22,'Cost Basis Detail'!N$21:N$22)+LOOKUP('Cost Basis'!N13,'Cost Basis Detail'!C$23:C$27,'Cost Basis Detail'!N$23:N$27)+LOOKUP(O13,'Cost Basis Detail'!C$28:C$32,'Cost Basis Detail'!N$28:N$32)+LOOKUP('Cost Basis'!P13,'Cost Basis Detail'!C$33,'Cost Basis Detail'!N$33)+LOOKUP('Cost Basis'!S13,'Cost Basis Detail'!C$40,'Cost Basis Detail'!N$40)+LOOKUP('Cost Basis'!U13,'Cost Basis Detail'!C$43,'Cost Basis Detail'!N$43)+LOOKUP('Cost Basis'!V13,'Cost Basis Detail'!C$44,'Cost Basis Detail'!N$44)+LOOKUP('Cost Basis'!W13,'Cost Basis Detail'!C$45,'Cost Basis Detail'!N$45)</f>
        <v>2050000</v>
      </c>
      <c r="F13" s="86">
        <f>'Cost Basis Detail'!N4</f>
        <v>0.1</v>
      </c>
      <c r="G13" s="131" t="s">
        <v>690</v>
      </c>
      <c r="H13" s="132" t="s">
        <v>675</v>
      </c>
      <c r="I13" s="132" t="s">
        <v>679</v>
      </c>
      <c r="J13" s="132" t="s">
        <v>675</v>
      </c>
      <c r="K13" s="132" t="s">
        <v>683</v>
      </c>
      <c r="L13" s="132" t="s">
        <v>684</v>
      </c>
      <c r="M13" s="132" t="s">
        <v>675</v>
      </c>
      <c r="N13" s="132" t="s">
        <v>677</v>
      </c>
      <c r="O13" s="132" t="s">
        <v>675</v>
      </c>
      <c r="P13" s="132" t="s">
        <v>675</v>
      </c>
      <c r="Q13" s="132" t="s">
        <v>684</v>
      </c>
      <c r="R13" s="132" t="s">
        <v>684</v>
      </c>
      <c r="S13" s="132" t="s">
        <v>675</v>
      </c>
      <c r="T13" s="132" t="s">
        <v>684</v>
      </c>
      <c r="U13" s="132" t="s">
        <v>675</v>
      </c>
      <c r="V13" s="132" t="s">
        <v>675</v>
      </c>
      <c r="W13" s="132" t="s">
        <v>675</v>
      </c>
    </row>
    <row r="14" spans="1:26" x14ac:dyDescent="0.2">
      <c r="A14" s="6" t="s">
        <v>442</v>
      </c>
      <c r="B14" s="225"/>
      <c r="C14" s="225" t="s">
        <v>403</v>
      </c>
      <c r="D14" s="6"/>
      <c r="E14" s="226" t="s">
        <v>403</v>
      </c>
      <c r="F14" s="84">
        <v>0.1</v>
      </c>
      <c r="G14" s="229" t="s">
        <v>692</v>
      </c>
      <c r="H14" s="132" t="s">
        <v>675</v>
      </c>
      <c r="I14" s="132" t="s">
        <v>679</v>
      </c>
      <c r="J14" s="132" t="s">
        <v>675</v>
      </c>
      <c r="K14" s="132" t="s">
        <v>683</v>
      </c>
      <c r="L14" s="132" t="s">
        <v>684</v>
      </c>
      <c r="M14" s="132" t="s">
        <v>675</v>
      </c>
      <c r="N14" s="132" t="s">
        <v>677</v>
      </c>
      <c r="O14" s="132" t="s">
        <v>675</v>
      </c>
      <c r="P14" s="132" t="s">
        <v>675</v>
      </c>
      <c r="Q14" s="132" t="s">
        <v>684</v>
      </c>
      <c r="R14" s="132" t="s">
        <v>684</v>
      </c>
      <c r="S14" s="132" t="s">
        <v>675</v>
      </c>
      <c r="T14" s="132" t="s">
        <v>684</v>
      </c>
      <c r="U14" s="132" t="s">
        <v>675</v>
      </c>
      <c r="V14" s="132" t="s">
        <v>675</v>
      </c>
      <c r="W14" s="132" t="s">
        <v>675</v>
      </c>
    </row>
    <row r="15" spans="1:26" ht="10.8" thickBot="1" x14ac:dyDescent="0.25">
      <c r="A15" s="227" t="s">
        <v>986</v>
      </c>
      <c r="B15" s="9"/>
      <c r="C15" s="228">
        <v>0</v>
      </c>
      <c r="D15" s="8" t="s">
        <v>700</v>
      </c>
      <c r="E15" s="224">
        <f>LOOKUP(I15,'Cost Basis Detail'!$C$5:$C$9,'Cost Basis Detail'!$P$5:$P$9)+LOOKUP('Cost Basis'!J15,'Cost Basis Detail'!C$10,'Cost Basis Detail'!P$10)+LOOKUP(K15,'Cost Basis Detail'!C$11:C$13,'Cost Basis Detail'!P$11:P$13)+LOOKUP(N15,'Cost Basis Detail'!C$21:C$22,'Cost Basis Detail'!P$21:P$22)+LOOKUP(N15,'Cost Basis Detail'!C$23:C$27,'Cost Basis Detail'!P$23:P$27)+LOOKUP(O15,'Cost Basis Detail'!C$28:C$32,'Cost Basis Detail'!P$28:P$32)+LOOKUP('Cost Basis'!P15,'Cost Basis Detail'!C$33,'Cost Basis Detail'!P$33)+LOOKUP('Cost Basis'!S15,'Cost Basis Detail'!C$40,'Cost Basis Detail'!P$40)+LOOKUP('Cost Basis'!U15,'Cost Basis Detail'!C$43,'Cost Basis Detail'!P$43)+LOOKUP('Cost Basis'!V15,'Cost Basis Detail'!C$44,'Cost Basis Detail'!P$44)+LOOKUP('Cost Basis'!W15,'Cost Basis Detail'!C$45,'Cost Basis Detail'!P$45)</f>
        <v>995000</v>
      </c>
      <c r="F15" s="86">
        <v>0.1</v>
      </c>
      <c r="G15" s="229" t="s">
        <v>694</v>
      </c>
      <c r="H15" s="132" t="s">
        <v>675</v>
      </c>
      <c r="I15" s="132" t="s">
        <v>679</v>
      </c>
      <c r="J15" s="132" t="s">
        <v>675</v>
      </c>
      <c r="K15" s="132" t="s">
        <v>683</v>
      </c>
      <c r="L15" s="132" t="s">
        <v>684</v>
      </c>
      <c r="M15" s="132" t="s">
        <v>675</v>
      </c>
      <c r="N15" s="132" t="s">
        <v>677</v>
      </c>
      <c r="O15" s="132" t="s">
        <v>675</v>
      </c>
      <c r="P15" s="132" t="s">
        <v>675</v>
      </c>
      <c r="Q15" s="132" t="s">
        <v>684</v>
      </c>
      <c r="R15" s="132" t="s">
        <v>684</v>
      </c>
      <c r="S15" s="132" t="s">
        <v>675</v>
      </c>
      <c r="T15" s="132" t="s">
        <v>684</v>
      </c>
      <c r="U15" s="132" t="s">
        <v>675</v>
      </c>
      <c r="V15" s="132" t="s">
        <v>675</v>
      </c>
      <c r="W15" s="132" t="s">
        <v>675</v>
      </c>
    </row>
  </sheetData>
  <sheetProtection sheet="1" objects="1" scenarios="1"/>
  <sortState xmlns:xlrd2="http://schemas.microsoft.com/office/spreadsheetml/2017/richdata2" ref="A4:W11">
    <sortCondition ref="A4:A11"/>
  </sortState>
  <mergeCells count="1">
    <mergeCell ref="G1:W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83949-FE90-4FAD-B823-574F0C2447BF}">
  <dimension ref="A1:P48"/>
  <sheetViews>
    <sheetView zoomScale="140" zoomScaleNormal="140" workbookViewId="0">
      <pane xSplit="4" ySplit="3" topLeftCell="F4" activePane="bottomRight" state="frozen"/>
      <selection pane="topRight" activeCell="C1" sqref="C1"/>
      <selection pane="bottomLeft" activeCell="A3" sqref="A3"/>
      <selection pane="bottomRight" activeCell="D17" sqref="D17"/>
    </sheetView>
  </sheetViews>
  <sheetFormatPr defaultColWidth="8.88671875" defaultRowHeight="14.4" x14ac:dyDescent="0.3"/>
  <cols>
    <col min="1" max="1" width="3.109375" style="2" bestFit="1" customWidth="1"/>
    <col min="2" max="2" width="15.88671875" style="2" bestFit="1" customWidth="1"/>
    <col min="3" max="3" width="3.109375" style="2" bestFit="1" customWidth="1"/>
    <col min="4" max="4" width="20.88671875" style="2" bestFit="1" customWidth="1"/>
    <col min="5" max="5" width="10.88671875" style="2" bestFit="1" customWidth="1"/>
    <col min="6" max="6" width="10.88671875" style="2" customWidth="1"/>
    <col min="7" max="12" width="10.44140625" style="2" customWidth="1"/>
    <col min="13" max="14" width="10.88671875" style="2" customWidth="1"/>
    <col min="15" max="16" width="9.88671875" style="2" customWidth="1"/>
    <col min="17" max="16384" width="8.88671875" style="2"/>
  </cols>
  <sheetData>
    <row r="1" spans="1:16" ht="12" customHeight="1" thickBot="1" x14ac:dyDescent="0.35">
      <c r="A1" s="14"/>
      <c r="B1" s="14"/>
      <c r="C1" s="14"/>
      <c r="D1" s="14"/>
      <c r="E1" s="44" t="s">
        <v>675</v>
      </c>
      <c r="F1" s="44" t="s">
        <v>676</v>
      </c>
      <c r="G1" s="44" t="s">
        <v>677</v>
      </c>
      <c r="H1" s="44" t="s">
        <v>678</v>
      </c>
      <c r="I1" s="44" t="s">
        <v>679</v>
      </c>
      <c r="J1" s="44" t="s">
        <v>680</v>
      </c>
      <c r="K1" s="44" t="s">
        <v>681</v>
      </c>
      <c r="L1" s="44" t="s">
        <v>682</v>
      </c>
      <c r="M1" s="44" t="s">
        <v>691</v>
      </c>
      <c r="N1" s="44" t="s">
        <v>690</v>
      </c>
      <c r="O1" s="44" t="s">
        <v>692</v>
      </c>
      <c r="P1" s="44" t="s">
        <v>694</v>
      </c>
    </row>
    <row r="2" spans="1:16" s="4" customFormat="1" ht="12" customHeight="1" x14ac:dyDescent="0.3">
      <c r="A2" s="15"/>
      <c r="B2" s="15"/>
      <c r="C2" s="15"/>
      <c r="D2" s="15"/>
      <c r="E2" s="275" t="s">
        <v>415</v>
      </c>
      <c r="F2" s="276"/>
      <c r="G2" s="276"/>
      <c r="H2" s="276"/>
      <c r="I2" s="276"/>
      <c r="J2" s="276"/>
      <c r="K2" s="276"/>
      <c r="L2" s="277"/>
      <c r="M2" s="275" t="s">
        <v>490</v>
      </c>
      <c r="N2" s="277"/>
      <c r="O2" s="275"/>
      <c r="P2" s="277"/>
    </row>
    <row r="3" spans="1:16" s="1" customFormat="1" ht="21" thickBot="1" x14ac:dyDescent="0.35">
      <c r="A3" s="5"/>
      <c r="B3" s="5"/>
      <c r="C3" s="5"/>
      <c r="D3" s="5"/>
      <c r="E3" s="16" t="s">
        <v>486</v>
      </c>
      <c r="F3" s="17" t="s">
        <v>701</v>
      </c>
      <c r="G3" s="17" t="s">
        <v>703</v>
      </c>
      <c r="H3" s="17" t="s">
        <v>702</v>
      </c>
      <c r="I3" s="17" t="s">
        <v>487</v>
      </c>
      <c r="J3" s="17" t="s">
        <v>491</v>
      </c>
      <c r="K3" s="17" t="s">
        <v>488</v>
      </c>
      <c r="L3" s="18" t="s">
        <v>489</v>
      </c>
      <c r="M3" s="16" t="s">
        <v>492</v>
      </c>
      <c r="N3" s="18" t="s">
        <v>493</v>
      </c>
      <c r="O3" s="16" t="s">
        <v>442</v>
      </c>
      <c r="P3" s="18" t="s">
        <v>986</v>
      </c>
    </row>
    <row r="4" spans="1:16" ht="12" customHeight="1" thickBot="1" x14ac:dyDescent="0.35">
      <c r="A4" s="19" t="s">
        <v>675</v>
      </c>
      <c r="B4" s="20" t="s">
        <v>479</v>
      </c>
      <c r="C4" s="35" t="s">
        <v>675</v>
      </c>
      <c r="D4" s="21"/>
      <c r="E4" s="206">
        <v>0.1</v>
      </c>
      <c r="F4" s="207">
        <v>0.1</v>
      </c>
      <c r="G4" s="207">
        <v>0.1</v>
      </c>
      <c r="H4" s="207">
        <v>0.1</v>
      </c>
      <c r="I4" s="207">
        <v>0.1</v>
      </c>
      <c r="J4" s="207">
        <v>0.1</v>
      </c>
      <c r="K4" s="207">
        <v>0.1</v>
      </c>
      <c r="L4" s="208">
        <v>0.1</v>
      </c>
      <c r="M4" s="206">
        <v>0.1</v>
      </c>
      <c r="N4" s="208">
        <v>0.1</v>
      </c>
      <c r="O4" s="206">
        <v>0.1</v>
      </c>
      <c r="P4" s="208">
        <v>0.1</v>
      </c>
    </row>
    <row r="5" spans="1:16" ht="12" customHeight="1" x14ac:dyDescent="0.3">
      <c r="A5" s="22" t="s">
        <v>676</v>
      </c>
      <c r="B5" s="23" t="s">
        <v>666</v>
      </c>
      <c r="C5" s="24" t="s">
        <v>675</v>
      </c>
      <c r="D5" s="25" t="s">
        <v>502</v>
      </c>
      <c r="E5" s="198">
        <v>20000</v>
      </c>
      <c r="F5" s="199">
        <v>20000</v>
      </c>
      <c r="G5" s="140">
        <v>20000</v>
      </c>
      <c r="H5" s="140">
        <v>20000</v>
      </c>
      <c r="I5" s="140">
        <v>20000</v>
      </c>
      <c r="J5" s="140"/>
      <c r="K5" s="140"/>
      <c r="L5" s="141">
        <v>20000</v>
      </c>
      <c r="M5" s="142">
        <v>10000</v>
      </c>
      <c r="N5" s="141">
        <v>10000</v>
      </c>
      <c r="O5" s="235">
        <v>0</v>
      </c>
      <c r="P5" s="141">
        <v>5000</v>
      </c>
    </row>
    <row r="6" spans="1:16" ht="12" customHeight="1" x14ac:dyDescent="0.3">
      <c r="A6" s="26"/>
      <c r="B6" s="26"/>
      <c r="C6" s="27" t="s">
        <v>676</v>
      </c>
      <c r="D6" s="28" t="s">
        <v>503</v>
      </c>
      <c r="E6" s="145">
        <v>20000</v>
      </c>
      <c r="F6" s="143">
        <v>20000</v>
      </c>
      <c r="G6" s="143">
        <v>20000</v>
      </c>
      <c r="H6" s="143">
        <v>20000</v>
      </c>
      <c r="I6" s="143">
        <v>20000</v>
      </c>
      <c r="J6" s="143"/>
      <c r="K6" s="143"/>
      <c r="L6" s="144">
        <v>20000</v>
      </c>
      <c r="M6" s="145">
        <v>10000</v>
      </c>
      <c r="N6" s="144">
        <v>10000</v>
      </c>
      <c r="O6" s="236">
        <v>0</v>
      </c>
      <c r="P6" s="144">
        <v>5000</v>
      </c>
    </row>
    <row r="7" spans="1:16" ht="12" customHeight="1" x14ac:dyDescent="0.3">
      <c r="A7" s="26"/>
      <c r="B7" s="26"/>
      <c r="C7" s="27" t="s">
        <v>677</v>
      </c>
      <c r="D7" s="28" t="s">
        <v>500</v>
      </c>
      <c r="E7" s="145">
        <v>40000</v>
      </c>
      <c r="F7" s="143">
        <v>40000</v>
      </c>
      <c r="G7" s="143">
        <v>40000</v>
      </c>
      <c r="H7" s="143">
        <v>40000</v>
      </c>
      <c r="I7" s="143">
        <v>50000</v>
      </c>
      <c r="J7" s="143">
        <v>10000</v>
      </c>
      <c r="K7" s="143">
        <v>20000</v>
      </c>
      <c r="L7" s="144">
        <v>60000</v>
      </c>
      <c r="M7" s="145">
        <v>20000</v>
      </c>
      <c r="N7" s="144">
        <v>10000</v>
      </c>
      <c r="O7" s="236">
        <v>0</v>
      </c>
      <c r="P7" s="144">
        <v>5000</v>
      </c>
    </row>
    <row r="8" spans="1:16" ht="12" customHeight="1" thickBot="1" x14ac:dyDescent="0.35">
      <c r="A8" s="29"/>
      <c r="B8" s="29"/>
      <c r="C8" s="30" t="s">
        <v>678</v>
      </c>
      <c r="D8" s="31" t="s">
        <v>501</v>
      </c>
      <c r="E8" s="201">
        <v>30000</v>
      </c>
      <c r="F8" s="202">
        <v>30000</v>
      </c>
      <c r="G8" s="202">
        <v>40000</v>
      </c>
      <c r="H8" s="202">
        <v>40000</v>
      </c>
      <c r="I8" s="202">
        <v>40000</v>
      </c>
      <c r="J8" s="202"/>
      <c r="K8" s="202">
        <v>20000</v>
      </c>
      <c r="L8" s="203">
        <v>60000</v>
      </c>
      <c r="M8" s="201">
        <v>20000</v>
      </c>
      <c r="N8" s="203">
        <v>20000</v>
      </c>
      <c r="O8" s="237">
        <v>0</v>
      </c>
      <c r="P8" s="203">
        <v>15000</v>
      </c>
    </row>
    <row r="9" spans="1:16" ht="12" customHeight="1" thickTop="1" thickBot="1" x14ac:dyDescent="0.35">
      <c r="A9" s="26"/>
      <c r="B9" s="26"/>
      <c r="C9" s="27" t="s">
        <v>679</v>
      </c>
      <c r="D9" s="28" t="s">
        <v>669</v>
      </c>
      <c r="E9" s="204">
        <f t="shared" ref="E9:N9" si="0">SUM(E5:E8)</f>
        <v>110000</v>
      </c>
      <c r="F9" s="205">
        <f t="shared" si="0"/>
        <v>110000</v>
      </c>
      <c r="G9" s="205">
        <f t="shared" si="0"/>
        <v>120000</v>
      </c>
      <c r="H9" s="205">
        <f t="shared" si="0"/>
        <v>120000</v>
      </c>
      <c r="I9" s="205">
        <f t="shared" si="0"/>
        <v>130000</v>
      </c>
      <c r="J9" s="205">
        <f t="shared" si="0"/>
        <v>10000</v>
      </c>
      <c r="K9" s="205">
        <f t="shared" si="0"/>
        <v>40000</v>
      </c>
      <c r="L9" s="215">
        <f t="shared" si="0"/>
        <v>160000</v>
      </c>
      <c r="M9" s="204">
        <f t="shared" si="0"/>
        <v>60000</v>
      </c>
      <c r="N9" s="215">
        <f t="shared" si="0"/>
        <v>50000</v>
      </c>
      <c r="O9" s="238">
        <v>0</v>
      </c>
      <c r="P9" s="215">
        <f t="shared" ref="P9" si="1">SUM(P5:P8)</f>
        <v>30000</v>
      </c>
    </row>
    <row r="10" spans="1:16" ht="12" customHeight="1" thickBot="1" x14ac:dyDescent="0.35">
      <c r="A10" s="19" t="s">
        <v>677</v>
      </c>
      <c r="B10" s="20" t="s">
        <v>668</v>
      </c>
      <c r="C10" s="35" t="s">
        <v>675</v>
      </c>
      <c r="D10" s="21" t="s">
        <v>653</v>
      </c>
      <c r="E10" s="218">
        <v>240000</v>
      </c>
      <c r="F10" s="219">
        <v>240000</v>
      </c>
      <c r="G10" s="219">
        <v>240000</v>
      </c>
      <c r="H10" s="219">
        <v>240000</v>
      </c>
      <c r="I10" s="219">
        <v>240000</v>
      </c>
      <c r="J10" s="219">
        <v>240000</v>
      </c>
      <c r="K10" s="219">
        <v>240000</v>
      </c>
      <c r="L10" s="220">
        <v>240000</v>
      </c>
      <c r="M10" s="218">
        <v>240000</v>
      </c>
      <c r="N10" s="220">
        <v>240000</v>
      </c>
      <c r="O10" s="239">
        <v>0</v>
      </c>
      <c r="P10" s="220">
        <v>0</v>
      </c>
    </row>
    <row r="11" spans="1:16" ht="12" customHeight="1" x14ac:dyDescent="0.3">
      <c r="A11" s="41" t="s">
        <v>678</v>
      </c>
      <c r="B11" s="26" t="s">
        <v>480</v>
      </c>
      <c r="C11" s="27" t="s">
        <v>683</v>
      </c>
      <c r="D11" s="28"/>
      <c r="E11" s="148"/>
      <c r="F11" s="146"/>
      <c r="G11" s="146"/>
      <c r="H11" s="146"/>
      <c r="I11" s="146"/>
      <c r="J11" s="146"/>
      <c r="K11" s="146"/>
      <c r="L11" s="147"/>
      <c r="M11" s="148"/>
      <c r="N11" s="147"/>
      <c r="O11" s="240">
        <v>0</v>
      </c>
      <c r="P11" s="147"/>
    </row>
    <row r="12" spans="1:16" ht="12" customHeight="1" x14ac:dyDescent="0.3">
      <c r="A12" s="26"/>
      <c r="B12" s="26"/>
      <c r="C12" s="27" t="s">
        <v>675</v>
      </c>
      <c r="D12" s="28" t="s">
        <v>665</v>
      </c>
      <c r="E12" s="145"/>
      <c r="F12" s="143"/>
      <c r="G12" s="143">
        <v>200000</v>
      </c>
      <c r="H12" s="143">
        <v>200000</v>
      </c>
      <c r="I12" s="143"/>
      <c r="J12" s="143"/>
      <c r="K12" s="143"/>
      <c r="L12" s="144"/>
      <c r="M12" s="145"/>
      <c r="N12" s="144"/>
      <c r="O12" s="236">
        <v>0</v>
      </c>
      <c r="P12" s="144"/>
    </row>
    <row r="13" spans="1:16" ht="12" customHeight="1" thickBot="1" x14ac:dyDescent="0.35">
      <c r="A13" s="32"/>
      <c r="B13" s="32"/>
      <c r="C13" s="33" t="s">
        <v>684</v>
      </c>
      <c r="D13" s="33" t="s">
        <v>663</v>
      </c>
      <c r="E13" s="151"/>
      <c r="F13" s="149"/>
      <c r="G13" s="180">
        <v>1</v>
      </c>
      <c r="H13" s="180">
        <v>1</v>
      </c>
      <c r="I13" s="149"/>
      <c r="J13" s="149"/>
      <c r="K13" s="149"/>
      <c r="L13" s="150"/>
      <c r="M13" s="151"/>
      <c r="N13" s="150"/>
      <c r="O13" s="241">
        <v>0</v>
      </c>
      <c r="P13" s="150"/>
    </row>
    <row r="14" spans="1:16" ht="12" customHeight="1" x14ac:dyDescent="0.3">
      <c r="A14" s="22" t="s">
        <v>679</v>
      </c>
      <c r="B14" s="278" t="s">
        <v>976</v>
      </c>
      <c r="C14" s="24" t="s">
        <v>683</v>
      </c>
      <c r="D14" s="25"/>
      <c r="E14" s="154"/>
      <c r="F14" s="152"/>
      <c r="G14" s="152"/>
      <c r="H14" s="152"/>
      <c r="I14" s="152"/>
      <c r="J14" s="152"/>
      <c r="K14" s="152"/>
      <c r="L14" s="153"/>
      <c r="M14" s="154"/>
      <c r="N14" s="153"/>
      <c r="O14" s="242">
        <v>0</v>
      </c>
      <c r="P14" s="153"/>
    </row>
    <row r="15" spans="1:16" ht="12" customHeight="1" x14ac:dyDescent="0.3">
      <c r="A15" s="26"/>
      <c r="B15" s="279"/>
      <c r="C15" s="27" t="s">
        <v>684</v>
      </c>
      <c r="D15" s="36" t="s">
        <v>654</v>
      </c>
      <c r="E15" s="157">
        <v>10</v>
      </c>
      <c r="F15" s="155"/>
      <c r="G15" s="155">
        <v>10</v>
      </c>
      <c r="H15" s="155"/>
      <c r="I15" s="155"/>
      <c r="J15" s="155"/>
      <c r="K15" s="155"/>
      <c r="L15" s="156">
        <v>5</v>
      </c>
      <c r="M15" s="157"/>
      <c r="N15" s="156"/>
      <c r="O15" s="243">
        <v>0</v>
      </c>
      <c r="P15" s="156"/>
    </row>
    <row r="16" spans="1:16" ht="12" customHeight="1" x14ac:dyDescent="0.3">
      <c r="A16" s="26"/>
      <c r="B16" s="26"/>
      <c r="C16" s="27" t="s">
        <v>685</v>
      </c>
      <c r="D16" s="36" t="s">
        <v>667</v>
      </c>
      <c r="E16" s="157"/>
      <c r="F16" s="155">
        <v>15</v>
      </c>
      <c r="G16" s="155"/>
      <c r="H16" s="155">
        <v>15</v>
      </c>
      <c r="I16" s="155"/>
      <c r="J16" s="155"/>
      <c r="K16" s="155"/>
      <c r="L16" s="156"/>
      <c r="M16" s="157"/>
      <c r="N16" s="156"/>
      <c r="O16" s="243">
        <v>0</v>
      </c>
      <c r="P16" s="156"/>
    </row>
    <row r="17" spans="1:16" ht="12" customHeight="1" x14ac:dyDescent="0.3">
      <c r="A17" s="26"/>
      <c r="B17" s="26"/>
      <c r="C17" s="27" t="s">
        <v>686</v>
      </c>
      <c r="D17" s="37" t="s">
        <v>655</v>
      </c>
      <c r="E17" s="157"/>
      <c r="F17" s="155"/>
      <c r="G17" s="155"/>
      <c r="H17" s="155"/>
      <c r="I17" s="155"/>
      <c r="J17" s="155">
        <v>10</v>
      </c>
      <c r="K17" s="155"/>
      <c r="L17" s="156"/>
      <c r="M17" s="157"/>
      <c r="N17" s="156"/>
      <c r="O17" s="243">
        <v>0</v>
      </c>
      <c r="P17" s="156"/>
    </row>
    <row r="18" spans="1:16" ht="12" customHeight="1" x14ac:dyDescent="0.3">
      <c r="A18" s="26"/>
      <c r="B18" s="26"/>
      <c r="C18" s="27" t="s">
        <v>687</v>
      </c>
      <c r="D18" s="37" t="s">
        <v>656</v>
      </c>
      <c r="E18" s="157"/>
      <c r="F18" s="155"/>
      <c r="G18" s="155"/>
      <c r="H18" s="155"/>
      <c r="I18" s="155">
        <v>10</v>
      </c>
      <c r="J18" s="155"/>
      <c r="K18" s="155"/>
      <c r="L18" s="156"/>
      <c r="M18" s="157"/>
      <c r="N18" s="156"/>
      <c r="O18" s="243">
        <v>0</v>
      </c>
      <c r="P18" s="156"/>
    </row>
    <row r="19" spans="1:16" ht="12" customHeight="1" x14ac:dyDescent="0.3">
      <c r="A19" s="26"/>
      <c r="B19" s="26"/>
      <c r="C19" s="27" t="s">
        <v>688</v>
      </c>
      <c r="D19" s="37" t="s">
        <v>657</v>
      </c>
      <c r="E19" s="157"/>
      <c r="F19" s="155"/>
      <c r="G19" s="155"/>
      <c r="H19" s="155"/>
      <c r="I19" s="155"/>
      <c r="J19" s="155"/>
      <c r="K19" s="155">
        <v>4</v>
      </c>
      <c r="L19" s="156"/>
      <c r="M19" s="157"/>
      <c r="N19" s="156"/>
      <c r="O19" s="243">
        <v>0</v>
      </c>
      <c r="P19" s="156"/>
    </row>
    <row r="20" spans="1:16" ht="12" customHeight="1" thickBot="1" x14ac:dyDescent="0.35">
      <c r="A20" s="26"/>
      <c r="B20" s="26"/>
      <c r="C20" s="27" t="s">
        <v>689</v>
      </c>
      <c r="D20" s="36" t="s">
        <v>658</v>
      </c>
      <c r="E20" s="160"/>
      <c r="F20" s="158"/>
      <c r="G20" s="158"/>
      <c r="H20" s="158"/>
      <c r="I20" s="158"/>
      <c r="J20" s="158"/>
      <c r="K20" s="158">
        <v>7</v>
      </c>
      <c r="L20" s="159"/>
      <c r="M20" s="160"/>
      <c r="N20" s="159"/>
      <c r="O20" s="244">
        <v>0</v>
      </c>
      <c r="P20" s="159"/>
    </row>
    <row r="21" spans="1:16" ht="12" customHeight="1" x14ac:dyDescent="0.3">
      <c r="A21" s="22" t="s">
        <v>680</v>
      </c>
      <c r="B21" s="25" t="s">
        <v>671</v>
      </c>
      <c r="C21" s="24" t="s">
        <v>683</v>
      </c>
      <c r="D21" s="42"/>
      <c r="E21" s="200"/>
      <c r="F21" s="161"/>
      <c r="G21" s="161"/>
      <c r="H21" s="161"/>
      <c r="I21" s="161"/>
      <c r="J21" s="161"/>
      <c r="K21" s="161"/>
      <c r="L21" s="162"/>
      <c r="M21" s="154"/>
      <c r="N21" s="153"/>
      <c r="O21" s="242">
        <v>0</v>
      </c>
      <c r="P21" s="153"/>
    </row>
    <row r="22" spans="1:16" ht="12" customHeight="1" thickBot="1" x14ac:dyDescent="0.35">
      <c r="A22" s="40"/>
      <c r="B22" s="34"/>
      <c r="C22" s="33" t="s">
        <v>675</v>
      </c>
      <c r="D22" s="43" t="s">
        <v>660</v>
      </c>
      <c r="E22" s="151"/>
      <c r="F22" s="149"/>
      <c r="G22" s="149"/>
      <c r="H22" s="149"/>
      <c r="I22" s="149"/>
      <c r="J22" s="149"/>
      <c r="K22" s="149"/>
      <c r="L22" s="150"/>
      <c r="M22" s="163">
        <v>500000</v>
      </c>
      <c r="N22" s="164">
        <v>500000</v>
      </c>
      <c r="O22" s="241">
        <v>0</v>
      </c>
      <c r="P22" s="164">
        <v>0</v>
      </c>
    </row>
    <row r="23" spans="1:16" ht="12" customHeight="1" x14ac:dyDescent="0.3">
      <c r="A23" s="41" t="s">
        <v>681</v>
      </c>
      <c r="B23" s="26" t="s">
        <v>672</v>
      </c>
      <c r="C23" s="27" t="s">
        <v>675</v>
      </c>
      <c r="D23" s="36" t="s">
        <v>977</v>
      </c>
      <c r="E23" s="167">
        <v>300000</v>
      </c>
      <c r="F23" s="165">
        <f t="shared" ref="F23:N23" si="2">E23</f>
        <v>300000</v>
      </c>
      <c r="G23" s="165">
        <v>500000</v>
      </c>
      <c r="H23" s="165">
        <v>500000</v>
      </c>
      <c r="I23" s="165">
        <v>300000</v>
      </c>
      <c r="J23" s="165">
        <f t="shared" si="2"/>
        <v>300000</v>
      </c>
      <c r="K23" s="165">
        <f t="shared" si="2"/>
        <v>300000</v>
      </c>
      <c r="L23" s="166">
        <f t="shared" si="2"/>
        <v>300000</v>
      </c>
      <c r="M23" s="167">
        <f t="shared" si="2"/>
        <v>300000</v>
      </c>
      <c r="N23" s="166">
        <f t="shared" si="2"/>
        <v>300000</v>
      </c>
      <c r="O23" s="245">
        <v>0</v>
      </c>
      <c r="P23" s="166">
        <f>N23</f>
        <v>300000</v>
      </c>
    </row>
    <row r="24" spans="1:16" ht="12" customHeight="1" x14ac:dyDescent="0.3">
      <c r="A24" s="41"/>
      <c r="B24" s="26"/>
      <c r="C24" s="27"/>
      <c r="D24" s="36" t="s">
        <v>978</v>
      </c>
      <c r="E24" s="167"/>
      <c r="F24" s="165"/>
      <c r="G24" s="165"/>
      <c r="H24" s="165"/>
      <c r="I24" s="165"/>
      <c r="J24" s="165"/>
      <c r="K24" s="165"/>
      <c r="L24" s="166"/>
      <c r="M24" s="167"/>
      <c r="N24" s="166"/>
      <c r="O24" s="245">
        <v>0</v>
      </c>
      <c r="P24" s="166"/>
    </row>
    <row r="25" spans="1:16" ht="12" customHeight="1" x14ac:dyDescent="0.3">
      <c r="A25" s="41"/>
      <c r="B25" s="26"/>
      <c r="C25" s="27"/>
      <c r="D25" s="36" t="s">
        <v>979</v>
      </c>
      <c r="E25" s="167"/>
      <c r="F25" s="165"/>
      <c r="G25" s="165"/>
      <c r="H25" s="165"/>
      <c r="I25" s="165"/>
      <c r="J25" s="165"/>
      <c r="K25" s="165"/>
      <c r="L25" s="166"/>
      <c r="M25" s="167"/>
      <c r="N25" s="166"/>
      <c r="O25" s="245">
        <v>0</v>
      </c>
      <c r="P25" s="166"/>
    </row>
    <row r="26" spans="1:16" s="138" customFormat="1" ht="12" customHeight="1" thickBot="1" x14ac:dyDescent="0.35">
      <c r="A26" s="136"/>
      <c r="B26" s="136"/>
      <c r="C26" s="137" t="s">
        <v>676</v>
      </c>
      <c r="D26" s="139" t="s">
        <v>659</v>
      </c>
      <c r="E26" s="212">
        <v>350000</v>
      </c>
      <c r="F26" s="213">
        <f t="shared" ref="F26:N26" si="3">E26</f>
        <v>350000</v>
      </c>
      <c r="G26" s="213">
        <f t="shared" si="3"/>
        <v>350000</v>
      </c>
      <c r="H26" s="213">
        <f t="shared" si="3"/>
        <v>350000</v>
      </c>
      <c r="I26" s="213">
        <f t="shared" si="3"/>
        <v>350000</v>
      </c>
      <c r="J26" s="213">
        <f t="shared" si="3"/>
        <v>350000</v>
      </c>
      <c r="K26" s="213">
        <f t="shared" si="3"/>
        <v>350000</v>
      </c>
      <c r="L26" s="214">
        <f t="shared" si="3"/>
        <v>350000</v>
      </c>
      <c r="M26" s="212">
        <f t="shared" si="3"/>
        <v>350000</v>
      </c>
      <c r="N26" s="214">
        <f t="shared" si="3"/>
        <v>350000</v>
      </c>
      <c r="O26" s="246">
        <v>0</v>
      </c>
      <c r="P26" s="214">
        <v>300000</v>
      </c>
    </row>
    <row r="27" spans="1:16" ht="12" customHeight="1" thickTop="1" thickBot="1" x14ac:dyDescent="0.35">
      <c r="A27" s="38"/>
      <c r="B27" s="38"/>
      <c r="C27" s="39" t="s">
        <v>677</v>
      </c>
      <c r="D27" s="34" t="s">
        <v>669</v>
      </c>
      <c r="E27" s="209">
        <f t="shared" ref="E27:N27" si="4">SUM(E23:E26)</f>
        <v>650000</v>
      </c>
      <c r="F27" s="210">
        <f t="shared" si="4"/>
        <v>650000</v>
      </c>
      <c r="G27" s="210">
        <f t="shared" si="4"/>
        <v>850000</v>
      </c>
      <c r="H27" s="210">
        <f t="shared" si="4"/>
        <v>850000</v>
      </c>
      <c r="I27" s="210">
        <f t="shared" si="4"/>
        <v>650000</v>
      </c>
      <c r="J27" s="210">
        <f t="shared" si="4"/>
        <v>650000</v>
      </c>
      <c r="K27" s="210">
        <f t="shared" si="4"/>
        <v>650000</v>
      </c>
      <c r="L27" s="211">
        <f t="shared" si="4"/>
        <v>650000</v>
      </c>
      <c r="M27" s="209">
        <f t="shared" si="4"/>
        <v>650000</v>
      </c>
      <c r="N27" s="211">
        <f t="shared" si="4"/>
        <v>650000</v>
      </c>
      <c r="O27" s="247">
        <v>0</v>
      </c>
      <c r="P27" s="211">
        <f t="shared" ref="P27" si="5">SUM(P23:P26)</f>
        <v>600000</v>
      </c>
    </row>
    <row r="28" spans="1:16" ht="12" customHeight="1" x14ac:dyDescent="0.3">
      <c r="A28" s="22" t="s">
        <v>682</v>
      </c>
      <c r="B28" s="23" t="s">
        <v>481</v>
      </c>
      <c r="C28" s="24" t="s">
        <v>683</v>
      </c>
      <c r="D28" s="25"/>
      <c r="E28" s="170"/>
      <c r="F28" s="168"/>
      <c r="G28" s="168"/>
      <c r="H28" s="168"/>
      <c r="I28" s="168"/>
      <c r="J28" s="168"/>
      <c r="K28" s="168"/>
      <c r="L28" s="169"/>
      <c r="M28" s="170"/>
      <c r="N28" s="169"/>
      <c r="O28" s="242">
        <v>0</v>
      </c>
      <c r="P28" s="169"/>
    </row>
    <row r="29" spans="1:16" ht="12" customHeight="1" x14ac:dyDescent="0.3">
      <c r="A29" s="26"/>
      <c r="B29" s="26"/>
      <c r="C29" s="27" t="s">
        <v>675</v>
      </c>
      <c r="D29" s="28" t="s">
        <v>474</v>
      </c>
      <c r="E29" s="173">
        <v>80000</v>
      </c>
      <c r="F29" s="171">
        <v>80000</v>
      </c>
      <c r="G29" s="171">
        <v>80000</v>
      </c>
      <c r="H29" s="171">
        <v>80000</v>
      </c>
      <c r="I29" s="171">
        <v>80000</v>
      </c>
      <c r="J29" s="171"/>
      <c r="K29" s="171">
        <v>80000</v>
      </c>
      <c r="L29" s="172"/>
      <c r="M29" s="173">
        <v>80000</v>
      </c>
      <c r="N29" s="172">
        <v>80000</v>
      </c>
      <c r="O29" s="243">
        <v>0</v>
      </c>
      <c r="P29" s="172">
        <v>80000</v>
      </c>
    </row>
    <row r="30" spans="1:16" ht="12" customHeight="1" x14ac:dyDescent="0.3">
      <c r="A30" s="26"/>
      <c r="B30" s="26"/>
      <c r="C30" s="27" t="s">
        <v>676</v>
      </c>
      <c r="D30" s="28" t="s">
        <v>475</v>
      </c>
      <c r="E30" s="173">
        <v>30000</v>
      </c>
      <c r="F30" s="171">
        <v>30000</v>
      </c>
      <c r="G30" s="171"/>
      <c r="H30" s="171"/>
      <c r="I30" s="171">
        <v>30000</v>
      </c>
      <c r="J30" s="171">
        <v>30000</v>
      </c>
      <c r="K30" s="171">
        <v>30000</v>
      </c>
      <c r="L30" s="172"/>
      <c r="M30" s="173">
        <v>30000</v>
      </c>
      <c r="N30" s="172">
        <v>30000</v>
      </c>
      <c r="O30" s="243">
        <v>0</v>
      </c>
      <c r="P30" s="172">
        <v>30000</v>
      </c>
    </row>
    <row r="31" spans="1:16" ht="12" customHeight="1" x14ac:dyDescent="0.3">
      <c r="A31" s="26"/>
      <c r="B31" s="26"/>
      <c r="C31" s="27" t="s">
        <v>677</v>
      </c>
      <c r="D31" s="28" t="s">
        <v>476</v>
      </c>
      <c r="E31" s="173">
        <v>200000</v>
      </c>
      <c r="F31" s="171">
        <v>200000</v>
      </c>
      <c r="G31" s="171"/>
      <c r="H31" s="171"/>
      <c r="I31" s="171">
        <v>200000</v>
      </c>
      <c r="J31" s="171"/>
      <c r="K31" s="171">
        <v>200000</v>
      </c>
      <c r="L31" s="172"/>
      <c r="M31" s="173">
        <v>200000</v>
      </c>
      <c r="N31" s="172">
        <v>200000</v>
      </c>
      <c r="O31" s="243">
        <v>0</v>
      </c>
      <c r="P31" s="172">
        <v>200000</v>
      </c>
    </row>
    <row r="32" spans="1:16" ht="12" customHeight="1" thickBot="1" x14ac:dyDescent="0.35">
      <c r="A32" s="26"/>
      <c r="B32" s="26"/>
      <c r="C32" s="27" t="s">
        <v>678</v>
      </c>
      <c r="D32" s="28" t="s">
        <v>496</v>
      </c>
      <c r="E32" s="176">
        <v>60000</v>
      </c>
      <c r="F32" s="174">
        <v>60000</v>
      </c>
      <c r="G32" s="174"/>
      <c r="H32" s="174"/>
      <c r="I32" s="174">
        <v>60000</v>
      </c>
      <c r="J32" s="174"/>
      <c r="K32" s="174"/>
      <c r="L32" s="175"/>
      <c r="M32" s="176">
        <v>60000</v>
      </c>
      <c r="N32" s="175">
        <v>60000</v>
      </c>
      <c r="O32" s="244">
        <v>0</v>
      </c>
      <c r="P32" s="175">
        <v>60000</v>
      </c>
    </row>
    <row r="33" spans="1:16" ht="12" customHeight="1" thickBot="1" x14ac:dyDescent="0.35">
      <c r="A33" s="19" t="s">
        <v>691</v>
      </c>
      <c r="B33" s="20" t="s">
        <v>477</v>
      </c>
      <c r="C33" s="35" t="s">
        <v>675</v>
      </c>
      <c r="D33" s="21"/>
      <c r="E33" s="179">
        <v>150000</v>
      </c>
      <c r="F33" s="177">
        <v>150000</v>
      </c>
      <c r="G33" s="177">
        <v>150000</v>
      </c>
      <c r="H33" s="177">
        <v>150000</v>
      </c>
      <c r="I33" s="177">
        <v>150000</v>
      </c>
      <c r="J33" s="177">
        <v>150000</v>
      </c>
      <c r="K33" s="177">
        <v>150000</v>
      </c>
      <c r="L33" s="178">
        <v>150000</v>
      </c>
      <c r="M33" s="179">
        <v>150000</v>
      </c>
      <c r="N33" s="178">
        <v>150000</v>
      </c>
      <c r="O33" s="248">
        <v>0</v>
      </c>
      <c r="P33" s="178">
        <v>25000</v>
      </c>
    </row>
    <row r="34" spans="1:16" ht="12" customHeight="1" x14ac:dyDescent="0.3">
      <c r="A34" s="41" t="s">
        <v>690</v>
      </c>
      <c r="B34" s="28" t="s">
        <v>494</v>
      </c>
      <c r="C34" s="27" t="s">
        <v>683</v>
      </c>
      <c r="D34" s="28"/>
      <c r="E34" s="167"/>
      <c r="F34" s="165"/>
      <c r="G34" s="165"/>
      <c r="H34" s="165"/>
      <c r="I34" s="165"/>
      <c r="J34" s="165"/>
      <c r="K34" s="165"/>
      <c r="L34" s="166"/>
      <c r="M34" s="167"/>
      <c r="N34" s="166"/>
      <c r="O34" s="245">
        <v>0</v>
      </c>
      <c r="P34" s="166"/>
    </row>
    <row r="35" spans="1:16" ht="12" customHeight="1" thickBot="1" x14ac:dyDescent="0.25">
      <c r="A35" s="8"/>
      <c r="B35" s="9"/>
      <c r="C35" s="33" t="s">
        <v>684</v>
      </c>
      <c r="D35" s="33" t="s">
        <v>663</v>
      </c>
      <c r="E35" s="182">
        <v>1</v>
      </c>
      <c r="F35" s="180">
        <v>1</v>
      </c>
      <c r="G35" s="180"/>
      <c r="H35" s="180"/>
      <c r="I35" s="180"/>
      <c r="J35" s="180"/>
      <c r="K35" s="180"/>
      <c r="L35" s="181"/>
      <c r="M35" s="182"/>
      <c r="N35" s="181"/>
      <c r="O35" s="241">
        <v>0</v>
      </c>
      <c r="P35" s="181"/>
    </row>
    <row r="36" spans="1:16" ht="12" customHeight="1" x14ac:dyDescent="0.3">
      <c r="A36" s="22" t="s">
        <v>692</v>
      </c>
      <c r="B36" s="23" t="s">
        <v>980</v>
      </c>
      <c r="C36" s="24" t="s">
        <v>683</v>
      </c>
      <c r="D36" s="25"/>
      <c r="E36" s="185"/>
      <c r="F36" s="183"/>
      <c r="G36" s="183"/>
      <c r="H36" s="183"/>
      <c r="I36" s="183"/>
      <c r="J36" s="183"/>
      <c r="K36" s="183"/>
      <c r="L36" s="184"/>
      <c r="M36" s="185"/>
      <c r="N36" s="184"/>
      <c r="O36" s="242">
        <v>0</v>
      </c>
      <c r="P36" s="184"/>
    </row>
    <row r="37" spans="1:16" ht="12" customHeight="1" x14ac:dyDescent="0.3">
      <c r="A37" s="41"/>
      <c r="B37" s="26"/>
      <c r="C37" s="27" t="s">
        <v>675</v>
      </c>
      <c r="D37" s="28" t="s">
        <v>981</v>
      </c>
      <c r="E37" s="188"/>
      <c r="F37" s="186"/>
      <c r="G37" s="165">
        <v>950000</v>
      </c>
      <c r="H37" s="165">
        <v>1250000</v>
      </c>
      <c r="I37" s="186"/>
      <c r="J37" s="186"/>
      <c r="K37" s="186"/>
      <c r="L37" s="187"/>
      <c r="M37" s="188"/>
      <c r="N37" s="187"/>
      <c r="O37" s="245">
        <v>0</v>
      </c>
      <c r="P37" s="187"/>
    </row>
    <row r="38" spans="1:16" ht="12" customHeight="1" x14ac:dyDescent="0.3">
      <c r="A38" s="26"/>
      <c r="B38" s="26"/>
      <c r="C38" s="27" t="s">
        <v>684</v>
      </c>
      <c r="D38" s="28" t="s">
        <v>661</v>
      </c>
      <c r="E38" s="157"/>
      <c r="F38" s="155"/>
      <c r="G38" s="155">
        <v>20</v>
      </c>
      <c r="H38" s="155">
        <v>21</v>
      </c>
      <c r="I38" s="155"/>
      <c r="J38" s="155">
        <v>20</v>
      </c>
      <c r="K38" s="155">
        <v>20</v>
      </c>
      <c r="L38" s="156">
        <v>30</v>
      </c>
      <c r="M38" s="173">
        <v>250000</v>
      </c>
      <c r="N38" s="172">
        <v>250000</v>
      </c>
      <c r="O38" s="243">
        <v>0</v>
      </c>
      <c r="P38" s="172">
        <v>150000</v>
      </c>
    </row>
    <row r="39" spans="1:16" ht="12" customHeight="1" thickBot="1" x14ac:dyDescent="0.35">
      <c r="A39" s="26"/>
      <c r="B39" s="26"/>
      <c r="C39" s="27" t="s">
        <v>685</v>
      </c>
      <c r="D39" s="28" t="s">
        <v>662</v>
      </c>
      <c r="E39" s="160">
        <v>15</v>
      </c>
      <c r="F39" s="158">
        <v>15</v>
      </c>
      <c r="G39" s="158"/>
      <c r="H39" s="158"/>
      <c r="I39" s="158">
        <v>25</v>
      </c>
      <c r="J39" s="158"/>
      <c r="K39" s="158"/>
      <c r="L39" s="159"/>
      <c r="M39" s="160"/>
      <c r="N39" s="159"/>
      <c r="O39" s="244">
        <v>0</v>
      </c>
      <c r="P39" s="159"/>
    </row>
    <row r="40" spans="1:16" ht="12" customHeight="1" thickBot="1" x14ac:dyDescent="0.35">
      <c r="A40" s="19" t="s">
        <v>694</v>
      </c>
      <c r="B40" s="20" t="s">
        <v>483</v>
      </c>
      <c r="C40" s="35" t="s">
        <v>675</v>
      </c>
      <c r="D40" s="21"/>
      <c r="E40" s="179">
        <v>50000</v>
      </c>
      <c r="F40" s="177">
        <v>50000</v>
      </c>
      <c r="G40" s="177">
        <v>50000</v>
      </c>
      <c r="H40" s="177">
        <v>50000</v>
      </c>
      <c r="I40" s="177">
        <v>50000</v>
      </c>
      <c r="J40" s="177">
        <v>50000</v>
      </c>
      <c r="K40" s="177">
        <v>50000</v>
      </c>
      <c r="L40" s="178">
        <v>50000</v>
      </c>
      <c r="M40" s="179">
        <v>50000</v>
      </c>
      <c r="N40" s="178">
        <v>50000</v>
      </c>
      <c r="O40" s="248">
        <v>0</v>
      </c>
      <c r="P40" s="178">
        <v>50000</v>
      </c>
    </row>
    <row r="41" spans="1:16" ht="12" customHeight="1" x14ac:dyDescent="0.3">
      <c r="A41" s="41" t="s">
        <v>693</v>
      </c>
      <c r="B41" s="28" t="s">
        <v>495</v>
      </c>
      <c r="C41" s="27" t="s">
        <v>683</v>
      </c>
      <c r="D41" s="28"/>
      <c r="E41" s="188"/>
      <c r="F41" s="186"/>
      <c r="G41" s="189"/>
      <c r="H41" s="189"/>
      <c r="I41" s="189"/>
      <c r="J41" s="189"/>
      <c r="K41" s="189"/>
      <c r="L41" s="190"/>
      <c r="M41" s="191"/>
      <c r="N41" s="190"/>
      <c r="O41" s="245">
        <v>0</v>
      </c>
      <c r="P41" s="190"/>
    </row>
    <row r="42" spans="1:16" ht="12" customHeight="1" thickBot="1" x14ac:dyDescent="0.35">
      <c r="A42" s="40"/>
      <c r="B42" s="34"/>
      <c r="C42" s="33" t="s">
        <v>684</v>
      </c>
      <c r="D42" s="34"/>
      <c r="E42" s="182">
        <v>2</v>
      </c>
      <c r="F42" s="180">
        <v>2</v>
      </c>
      <c r="G42" s="149"/>
      <c r="H42" s="149"/>
      <c r="I42" s="149"/>
      <c r="J42" s="149"/>
      <c r="K42" s="149"/>
      <c r="L42" s="150"/>
      <c r="M42" s="151"/>
      <c r="N42" s="150"/>
      <c r="O42" s="241">
        <v>0</v>
      </c>
      <c r="P42" s="150"/>
    </row>
    <row r="43" spans="1:16" ht="12" customHeight="1" thickBot="1" x14ac:dyDescent="0.35">
      <c r="A43" s="22" t="s">
        <v>695</v>
      </c>
      <c r="B43" s="23" t="s">
        <v>484</v>
      </c>
      <c r="C43" s="24" t="s">
        <v>675</v>
      </c>
      <c r="D43" s="25"/>
      <c r="E43" s="194">
        <v>20000</v>
      </c>
      <c r="F43" s="192">
        <v>20000</v>
      </c>
      <c r="G43" s="192">
        <v>20000</v>
      </c>
      <c r="H43" s="192">
        <v>20000</v>
      </c>
      <c r="I43" s="192">
        <v>20000</v>
      </c>
      <c r="J43" s="192">
        <v>20000</v>
      </c>
      <c r="K43" s="192">
        <v>20000</v>
      </c>
      <c r="L43" s="193">
        <v>20000</v>
      </c>
      <c r="M43" s="194">
        <v>20000</v>
      </c>
      <c r="N43" s="193">
        <v>20000</v>
      </c>
      <c r="O43" s="249">
        <v>0</v>
      </c>
      <c r="P43" s="193">
        <v>20000</v>
      </c>
    </row>
    <row r="44" spans="1:16" ht="12" customHeight="1" thickBot="1" x14ac:dyDescent="0.35">
      <c r="A44" s="19" t="s">
        <v>696</v>
      </c>
      <c r="B44" s="20" t="s">
        <v>485</v>
      </c>
      <c r="C44" s="35" t="s">
        <v>675</v>
      </c>
      <c r="D44" s="21" t="s">
        <v>664</v>
      </c>
      <c r="E44" s="179">
        <v>30000</v>
      </c>
      <c r="F44" s="177">
        <v>50000</v>
      </c>
      <c r="G44" s="177">
        <v>50000</v>
      </c>
      <c r="H44" s="177">
        <v>50000</v>
      </c>
      <c r="I44" s="177">
        <v>30000</v>
      </c>
      <c r="J44" s="177">
        <v>30000</v>
      </c>
      <c r="K44" s="177">
        <v>30000</v>
      </c>
      <c r="L44" s="178">
        <v>50000</v>
      </c>
      <c r="M44" s="179">
        <v>160000</v>
      </c>
      <c r="N44" s="178">
        <v>160000</v>
      </c>
      <c r="O44" s="248">
        <v>0</v>
      </c>
      <c r="P44" s="178">
        <v>160000</v>
      </c>
    </row>
    <row r="45" spans="1:16" ht="12" customHeight="1" thickBot="1" x14ac:dyDescent="0.35">
      <c r="A45" s="40" t="s">
        <v>697</v>
      </c>
      <c r="B45" s="32" t="s">
        <v>478</v>
      </c>
      <c r="C45" s="33" t="s">
        <v>675</v>
      </c>
      <c r="D45" s="34"/>
      <c r="E45" s="197">
        <v>150000</v>
      </c>
      <c r="F45" s="195">
        <v>150000</v>
      </c>
      <c r="G45" s="195">
        <v>150000</v>
      </c>
      <c r="H45" s="195">
        <v>150000</v>
      </c>
      <c r="I45" s="195">
        <v>150000</v>
      </c>
      <c r="J45" s="195">
        <v>150000</v>
      </c>
      <c r="K45" s="195">
        <v>150000</v>
      </c>
      <c r="L45" s="196">
        <v>150000</v>
      </c>
      <c r="M45" s="197">
        <v>150000</v>
      </c>
      <c r="N45" s="196">
        <v>150000</v>
      </c>
      <c r="O45" s="250">
        <v>0</v>
      </c>
      <c r="P45" s="196">
        <v>30000</v>
      </c>
    </row>
    <row r="46" spans="1:16" x14ac:dyDescent="0.2">
      <c r="A46" s="7"/>
      <c r="B46" s="7"/>
      <c r="C46" s="7"/>
      <c r="D46" s="7"/>
      <c r="E46" s="7"/>
      <c r="F46" s="7"/>
      <c r="G46" s="7"/>
      <c r="H46" s="7"/>
      <c r="I46" s="7"/>
      <c r="J46" s="7"/>
      <c r="K46" s="7"/>
      <c r="L46" s="7"/>
      <c r="M46" s="7"/>
      <c r="N46" s="7"/>
    </row>
    <row r="47" spans="1:16" x14ac:dyDescent="0.3">
      <c r="B47" s="14" t="s">
        <v>983</v>
      </c>
    </row>
    <row r="48" spans="1:16" x14ac:dyDescent="0.3">
      <c r="B48" s="14" t="s">
        <v>982</v>
      </c>
    </row>
  </sheetData>
  <sheetProtection sheet="1" objects="1" scenarios="1"/>
  <mergeCells count="4">
    <mergeCell ref="E2:L2"/>
    <mergeCell ref="M2:N2"/>
    <mergeCell ref="B14:B15"/>
    <mergeCell ref="O2:P2"/>
  </mergeCells>
  <phoneticPr fontId="4"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1BD68-20B9-4797-895E-26B0EE9D9927}">
  <dimension ref="A1:B10"/>
  <sheetViews>
    <sheetView workbookViewId="0">
      <selection sqref="A1:A1048576"/>
    </sheetView>
  </sheetViews>
  <sheetFormatPr defaultRowHeight="14.4" x14ac:dyDescent="0.3"/>
  <sheetData>
    <row r="1" spans="1:2" x14ac:dyDescent="0.3">
      <c r="A1">
        <v>1</v>
      </c>
      <c r="B1" t="s">
        <v>1006</v>
      </c>
    </row>
    <row r="2" spans="1:2" x14ac:dyDescent="0.3">
      <c r="B2" t="s">
        <v>1007</v>
      </c>
    </row>
    <row r="3" spans="1:2" x14ac:dyDescent="0.3">
      <c r="A3">
        <v>2</v>
      </c>
      <c r="B3" t="s">
        <v>1006</v>
      </c>
    </row>
    <row r="4" spans="1:2" x14ac:dyDescent="0.3">
      <c r="B4" t="s">
        <v>1007</v>
      </c>
    </row>
    <row r="5" spans="1:2" x14ac:dyDescent="0.3">
      <c r="A5">
        <v>3</v>
      </c>
      <c r="B5" t="s">
        <v>1006</v>
      </c>
    </row>
    <row r="6" spans="1:2" x14ac:dyDescent="0.3">
      <c r="B6" t="s">
        <v>1007</v>
      </c>
    </row>
    <row r="7" spans="1:2" x14ac:dyDescent="0.3">
      <c r="A7">
        <v>4</v>
      </c>
      <c r="B7" t="s">
        <v>1006</v>
      </c>
    </row>
    <row r="8" spans="1:2" x14ac:dyDescent="0.3">
      <c r="B8" t="s">
        <v>1007</v>
      </c>
    </row>
    <row r="9" spans="1:2" x14ac:dyDescent="0.3">
      <c r="A9">
        <v>5</v>
      </c>
      <c r="B9" t="s">
        <v>1006</v>
      </c>
    </row>
    <row r="10" spans="1:2" x14ac:dyDescent="0.3">
      <c r="B10" t="s">
        <v>1007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96703da-9644-4337-9ac8-58bc1a795c5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FC9E2D0E614042BFD94A0A8F46C6FE" ma:contentTypeVersion="10" ma:contentTypeDescription="Create a new document." ma:contentTypeScope="" ma:versionID="a89cba86f6ea964a332d26af70f45f24">
  <xsd:schema xmlns:xsd="http://www.w3.org/2001/XMLSchema" xmlns:xs="http://www.w3.org/2001/XMLSchema" xmlns:p="http://schemas.microsoft.com/office/2006/metadata/properties" xmlns:ns3="e4e66b7d-e97c-41c6-bade-5fb8286e9836" xmlns:ns4="296703da-9644-4337-9ac8-58bc1a795c50" targetNamespace="http://schemas.microsoft.com/office/2006/metadata/properties" ma:root="true" ma:fieldsID="c20a20cc74413354c79c2f430e62e80e" ns3:_="" ns4:_="">
    <xsd:import namespace="e4e66b7d-e97c-41c6-bade-5fb8286e9836"/>
    <xsd:import namespace="296703da-9644-4337-9ac8-58bc1a795c5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e66b7d-e97c-41c6-bade-5fb8286e98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703da-9644-4337-9ac8-58bc1a795c5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_activity" ma:index="17"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25E40F-802E-4897-A658-6174D194DF30}">
  <ds:schemaRefs>
    <ds:schemaRef ds:uri="http://schemas.microsoft.com/office/infopath/2007/PartnerControls"/>
    <ds:schemaRef ds:uri="http://schemas.microsoft.com/office/2006/documentManagement/types"/>
    <ds:schemaRef ds:uri="296703da-9644-4337-9ac8-58bc1a795c50"/>
    <ds:schemaRef ds:uri="e4e66b7d-e97c-41c6-bade-5fb8286e9836"/>
    <ds:schemaRef ds:uri="http://schemas.microsoft.com/office/2006/metadata/properties"/>
    <ds:schemaRef ds:uri="http://purl.org/dc/dcmitype/"/>
    <ds:schemaRef ds:uri="http://purl.org/dc/elements/1.1/"/>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E8BE2E78-0427-4114-AEF0-64144F4FCB18}">
  <ds:schemaRefs>
    <ds:schemaRef ds:uri="http://schemas.microsoft.com/sharepoint/v3/contenttype/forms"/>
  </ds:schemaRefs>
</ds:datastoreItem>
</file>

<file path=customXml/itemProps3.xml><?xml version="1.0" encoding="utf-8"?>
<ds:datastoreItem xmlns:ds="http://schemas.openxmlformats.org/officeDocument/2006/customXml" ds:itemID="{72C92D36-B4C9-454D-BD57-AF2DAFE07E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e66b7d-e97c-41c6-bade-5fb8286e9836"/>
    <ds:schemaRef ds:uri="296703da-9644-4337-9ac8-58bc1a795c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Model Rules</vt:lpstr>
      <vt:lpstr>Version - Updates</vt:lpstr>
      <vt:lpstr>Model</vt:lpstr>
      <vt:lpstr>Cost Basis</vt:lpstr>
      <vt:lpstr>Cost Basis Detail</vt:lpstr>
      <vt:lpstr>FAQs</vt:lpstr>
      <vt:lpstr>Technology_List</vt:lpstr>
    </vt:vector>
  </TitlesOfParts>
  <Company>State of Alaska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Lochner, Thomas F (CED)</dc:creator>
  <cp:lastModifiedBy>Feero, Anessa J (DOH)</cp:lastModifiedBy>
  <dcterms:created xsi:type="dcterms:W3CDTF">2022-11-28T18:35:08Z</dcterms:created>
  <dcterms:modified xsi:type="dcterms:W3CDTF">2023-02-03T01:30:49Z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0x01010078FC9E2D0E614042BFD94A0A8F46C6FE</vt:lpwstr>
  </property>
</Properties>
</file>